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dGNSyRAFv5uRorgvkRc4jl0z10/A6nJFCK9PbIt6NW7li3RjCRGICGSF3RsLH/t1BQajaWHLQGUKh9KN05Q/7w==" workbookSaltValue="O4VrRG5Zr619Jstl0LUg5g=="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BM18" i="16" s="1"/>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D13" i="7"/>
  <c r="AV18" i="21"/>
  <c r="AR13" i="21"/>
  <c r="BF17" i="8"/>
  <c r="E18" i="12"/>
  <c r="ER19" i="8"/>
  <c r="AE13" i="21"/>
  <c r="EL19" i="8"/>
  <c r="BE12" i="21"/>
  <c r="EQ19" i="8"/>
  <c r="EN19" i="8"/>
  <c r="E15" i="3"/>
  <c r="BA13" i="16"/>
  <c r="E17" i="3"/>
  <c r="ES19" i="8"/>
  <c r="C18" i="7"/>
  <c r="R19" i="8"/>
  <c r="EP19" i="8"/>
  <c r="EP19" i="19"/>
  <c r="S13" i="16"/>
  <c r="P13" i="16"/>
  <c r="W13" i="20"/>
  <c r="AO12" i="11"/>
  <c r="H13" i="12"/>
  <c r="F13" i="7"/>
  <c r="AJ19" i="8"/>
  <c r="T13" i="16"/>
  <c r="AY13" i="8"/>
  <c r="BG15" i="8"/>
  <c r="BD9" i="8"/>
  <c r="I19" i="8"/>
  <c r="AP13" i="16"/>
  <c r="F11" i="11"/>
  <c r="AQ11" i="11" s="1"/>
  <c r="T18" i="17"/>
  <c r="BF15" i="13"/>
  <c r="BE16" i="13"/>
  <c r="BF16" i="13"/>
  <c r="Z20" i="20"/>
  <c r="H20" i="20"/>
  <c r="G18" i="14"/>
  <c r="AK20" i="20"/>
  <c r="T20" i="20"/>
  <c r="O16" i="11"/>
  <c r="F17" i="16" l="1"/>
  <c r="BL17" i="16" s="1"/>
  <c r="G18" i="12"/>
  <c r="AG19" i="8"/>
  <c r="BD12" i="8"/>
  <c r="BE12" i="8"/>
  <c r="I12" i="7" s="1"/>
  <c r="B12" i="6"/>
  <c r="B13" i="7"/>
  <c r="E10" i="6"/>
  <c r="L11" i="14"/>
  <c r="BE15" i="13"/>
  <c r="R8" i="9"/>
  <c r="X12" i="17"/>
  <c r="T17" i="20"/>
  <c r="U10" i="21"/>
  <c r="X16" i="20"/>
  <c r="V9" i="16"/>
  <c r="L9" i="2"/>
  <c r="L15" i="2"/>
  <c r="X9" i="16"/>
  <c r="X19" i="16" s="1"/>
  <c r="S10" i="14"/>
  <c r="V10" i="14" s="1"/>
  <c r="R10" i="14"/>
  <c r="R16" i="14"/>
  <c r="S15" i="14"/>
  <c r="V15" i="14" s="1"/>
  <c r="X16" i="17"/>
  <c r="AA15" i="16"/>
  <c r="AA9" i="16"/>
  <c r="V15" i="16"/>
  <c r="S11" i="17"/>
  <c r="X10" i="21"/>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BE15" i="8"/>
  <c r="I15" i="7" s="1"/>
  <c r="BD16" i="8"/>
  <c r="AO17" i="17"/>
  <c r="AC19" i="17"/>
  <c r="BN18" i="16"/>
  <c r="BN19" i="16" s="1"/>
  <c r="F11" i="16"/>
  <c r="AH13" i="16"/>
  <c r="M13" i="2"/>
  <c r="AP15" i="11"/>
  <c r="AP11" i="11"/>
  <c r="H12" i="7"/>
  <c r="H12" i="2"/>
  <c r="J9" i="2"/>
  <c r="K12" i="7"/>
  <c r="BB19" i="19"/>
  <c r="AP13" i="20"/>
  <c r="AS13" i="21"/>
  <c r="AO18" i="20"/>
  <c r="ER19" i="19"/>
  <c r="AB19" i="13"/>
  <c r="BG11" i="13"/>
  <c r="BA18" i="13"/>
  <c r="AY13" i="13"/>
  <c r="BF9" i="8"/>
  <c r="AL17" i="11"/>
  <c r="C17" i="6"/>
  <c r="F16" i="17"/>
  <c r="F17" i="17"/>
  <c r="AQ17" i="17" s="1"/>
  <c r="H18" i="16"/>
  <c r="C12" i="14"/>
  <c r="K12" i="14" s="1"/>
  <c r="F15" i="11"/>
  <c r="AQ15" i="11" s="1"/>
  <c r="F11" i="12"/>
  <c r="Y12" i="11"/>
  <c r="R18" i="11"/>
  <c r="C13" i="5"/>
  <c r="K15" i="7"/>
  <c r="AM15" i="11"/>
  <c r="L17" i="14"/>
  <c r="F17" i="2"/>
  <c r="Z19" i="19"/>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F15" i="17"/>
  <c r="AQ15" i="17" s="1"/>
  <c r="AT18" i="17"/>
  <c r="AF13" i="21"/>
  <c r="AF19" i="21" s="1"/>
  <c r="F12" i="21"/>
  <c r="AO13" i="21"/>
  <c r="N13" i="2"/>
  <c r="C10" i="14"/>
  <c r="K10" i="14" s="1"/>
  <c r="F9" i="12"/>
  <c r="G9" i="12"/>
  <c r="E9" i="12"/>
  <c r="D9" i="12"/>
  <c r="AP10" i="11"/>
  <c r="F17" i="11"/>
  <c r="AQ17" i="11" s="1"/>
  <c r="AE13" i="11"/>
  <c r="AH13" i="11"/>
  <c r="F9" i="11"/>
  <c r="AP9" i="11"/>
  <c r="Y11" i="11"/>
  <c r="Y17" i="11"/>
  <c r="D12" i="6"/>
  <c r="G12" i="3"/>
  <c r="G10" i="3"/>
  <c r="D16" i="6"/>
  <c r="E18" i="2"/>
  <c r="C16" i="6"/>
  <c r="I9" i="7"/>
  <c r="I18" i="2"/>
  <c r="G18" i="2"/>
  <c r="B16" i="6"/>
  <c r="N18" i="2"/>
  <c r="T10" i="2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D11" i="2"/>
  <c r="E11" i="6"/>
  <c r="K17" i="7"/>
  <c r="E9" i="6"/>
  <c r="AL19" i="16"/>
  <c r="BA13" i="8"/>
  <c r="BD15" i="8"/>
  <c r="H15" i="7" s="1"/>
  <c r="AO16" i="17"/>
  <c r="I13" i="2"/>
  <c r="J13" i="2" s="1"/>
  <c r="D17" i="2"/>
  <c r="AO11" i="11"/>
  <c r="AL11" i="11"/>
  <c r="F12" i="11"/>
  <c r="AQ12" i="11" s="1"/>
  <c r="BF16" i="8"/>
  <c r="AB19" i="8"/>
  <c r="X19" i="8"/>
  <c r="B11" i="6"/>
  <c r="I11" i="7"/>
  <c r="L12" i="14"/>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I20" i="20"/>
  <c r="U16" i="11"/>
  <c r="AX20" i="20"/>
  <c r="Y20" i="20"/>
  <c r="O10" i="11"/>
  <c r="AM20" i="20"/>
  <c r="Q20" i="20"/>
  <c r="AB20" i="20"/>
  <c r="AI20" i="20"/>
  <c r="AZ20" i="20"/>
  <c r="AV20" i="20"/>
  <c r="AU20" i="20"/>
  <c r="M20" i="20"/>
  <c r="AQ20" i="21"/>
  <c r="AP20" i="20"/>
  <c r="AH20" i="20"/>
  <c r="N20" i="20"/>
  <c r="AD20" i="20"/>
  <c r="AE20" i="20"/>
  <c r="AG20" i="20"/>
  <c r="U12" i="11"/>
  <c r="W20" i="21"/>
  <c r="T20" i="21"/>
  <c r="I15" i="12" l="1"/>
  <c r="AB21" i="21"/>
  <c r="X12" i="21"/>
  <c r="AP16" i="20"/>
  <c r="BH9" i="16"/>
  <c r="V15" i="11"/>
  <c r="BJ17" i="11"/>
  <c r="BH15" i="11"/>
  <c r="BH15" i="16"/>
  <c r="Q17" i="20"/>
  <c r="Q18" i="20" s="1"/>
  <c r="BL17" i="11"/>
  <c r="BK12" i="11"/>
  <c r="BF10" i="11"/>
  <c r="BK9" i="11"/>
  <c r="X11" i="17"/>
  <c r="BK15" i="11"/>
  <c r="X9" i="17"/>
  <c r="AZ17" i="11"/>
  <c r="BI10" i="11"/>
  <c r="Q10" i="21"/>
  <c r="V9" i="11"/>
  <c r="BJ11" i="11"/>
  <c r="R10" i="2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L16" i="11"/>
  <c r="L12" i="2"/>
  <c r="U9" i="17"/>
  <c r="U19" i="17" s="1"/>
  <c r="BF11" i="11"/>
  <c r="BL9" i="11"/>
  <c r="BG10" i="11"/>
  <c r="P17" i="17"/>
  <c r="BF16" i="11"/>
  <c r="BL12" i="11"/>
  <c r="V12" i="21"/>
  <c r="BK11" i="11"/>
  <c r="AP10" i="21"/>
  <c r="BH9" i="11"/>
  <c r="BJ15" i="11"/>
  <c r="AP15" i="20"/>
  <c r="R17" i="20"/>
  <c r="R18" i="20" s="1"/>
  <c r="AZ9" i="11"/>
  <c r="AZ15" i="11"/>
  <c r="AZ18" i="11" s="1"/>
  <c r="BV17" i="16"/>
  <c r="BV12" i="16"/>
  <c r="BV11" i="16"/>
  <c r="U10" i="17"/>
  <c r="V12" i="16"/>
  <c r="AA16" i="16"/>
  <c r="AZ16" i="11"/>
  <c r="AZ11" i="11"/>
  <c r="S15" i="16"/>
  <c r="BF12" i="11"/>
  <c r="BL10" i="11"/>
  <c r="Q15" i="17"/>
  <c r="BF15" i="11"/>
  <c r="BM9" i="11"/>
  <c r="BK10" i="11"/>
  <c r="X15" i="16"/>
  <c r="X18" i="16" s="1"/>
  <c r="T9" i="11"/>
  <c r="BH11" i="16"/>
  <c r="BH17" i="16"/>
  <c r="BM16" i="11"/>
  <c r="BF17" i="11"/>
  <c r="S17" i="16"/>
  <c r="V17" i="16"/>
  <c r="V11" i="11"/>
  <c r="BM12" i="11"/>
  <c r="BI15" i="11"/>
  <c r="BJ12" i="11"/>
  <c r="BG15" i="11"/>
  <c r="BK17" i="11"/>
  <c r="AP17" i="20"/>
  <c r="BU11" i="17"/>
  <c r="BU10" i="17"/>
  <c r="BW12" i="20"/>
  <c r="BW11" i="20"/>
  <c r="BW10" i="20"/>
  <c r="BU12" i="17"/>
  <c r="S11" i="14"/>
  <c r="V11" i="14" s="1"/>
  <c r="X17" i="17"/>
  <c r="P15" i="17"/>
  <c r="P18" i="17" s="1"/>
  <c r="P19" i="17" s="1"/>
  <c r="BL15" i="11"/>
  <c r="BH10" i="16"/>
  <c r="BM17" i="11"/>
  <c r="S17" i="17"/>
  <c r="BH12" i="16"/>
  <c r="L10" i="2"/>
  <c r="S15" i="17"/>
  <c r="V10" i="16"/>
  <c r="R17" i="14"/>
  <c r="S16" i="14"/>
  <c r="V16" i="14" s="1"/>
  <c r="X13" i="20"/>
  <c r="AM12" i="11"/>
  <c r="AM11" i="11"/>
  <c r="AM9" i="11"/>
  <c r="AO10" i="17"/>
  <c r="AO9" i="17"/>
  <c r="V10" i="21"/>
  <c r="X13" i="17"/>
  <c r="AQ13" i="21"/>
  <c r="AO15" i="17"/>
  <c r="X12" i="16"/>
  <c r="L16" i="2"/>
  <c r="S9" i="17"/>
  <c r="AA11" i="16"/>
  <c r="X15" i="17"/>
  <c r="X10" i="17"/>
  <c r="T17" i="11"/>
  <c r="S9" i="14"/>
  <c r="V9" i="14" s="1"/>
  <c r="R12" i="14"/>
  <c r="S17" i="14"/>
  <c r="V17" i="14" s="1"/>
  <c r="V15" i="20"/>
  <c r="V18" i="20" s="1"/>
  <c r="L17" i="2"/>
  <c r="L11" i="2"/>
  <c r="V11" i="16"/>
  <c r="S10" i="17"/>
  <c r="AA12" i="21"/>
  <c r="X17" i="20"/>
  <c r="AA17" i="16"/>
  <c r="AA10" i="16"/>
  <c r="T12" i="11"/>
  <c r="R11" i="14"/>
  <c r="S12" i="14"/>
  <c r="V12" i="14"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8" i="16" l="1"/>
  <c r="Q9" i="11"/>
  <c r="AZ19" i="11"/>
  <c r="AZ13" i="11"/>
  <c r="R13" i="21"/>
  <c r="R19" i="21" s="1"/>
  <c r="BJ18" i="11"/>
  <c r="S19" i="16"/>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W20" i="11"/>
  <c r="O17" i="11"/>
  <c r="AO20" i="20"/>
  <c r="H20" i="17"/>
  <c r="AN20" i="20"/>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BI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<sst xmlns="http://schemas.openxmlformats.org/spreadsheetml/2006/main" count="2094" uniqueCount="914">
  <si>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</si>
  <si>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</si>
  <si>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</si>
  <si>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</si>
  <si>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</si>
  <si>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</si>
  <si>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</si>
  <si>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</si>
  <si>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</si>
  <si>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</si>
  <si>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</si>
  <si>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</si>
  <si>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</si>
  <si>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</si>
  <si>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</si>
  <si>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</si>
  <si>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</si>
  <si>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</si>
  <si>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</si>
  <si>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</si>
  <si>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</si>
  <si>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</si>
  <si>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</si>
  <si>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</si>
  <si>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</si>
  <si>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</si>
  <si>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</si>
  <si>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</si>
  <si>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</si>
  <si>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</si>
  <si>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</si>
  <si>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</si>
  <si>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</si>
  <si>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</si>
  <si>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</si>
  <si>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</si>
  <si>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</si>
  <si>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</si>
  <si>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</si>
  <si>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</si>
  <si>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</si>
  <si>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</si>
  <si>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</si>
  <si>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</si>
  <si>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</si>
  <si>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</si>
  <si>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</si>
  <si>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</si>
  <si>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</si>
  <si>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</si>
  <si>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</si>
  <si>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</si>
  <si>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</si>
  <si>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</si>
  <si>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</si>
  <si>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</si>
  <si>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</si>
  <si>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</si>
  <si>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</si>
  <si>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</si>
  <si>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</si>
  <si>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</si>
  <si>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</si>
  <si>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</si>
  <si>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</si>
  <si>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</si>
  <si>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</si>
  <si>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</si>
  <si>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</si>
  <si>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</si>
  <si>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</si>
  <si>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</si>
  <si>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</si>
  <si>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</si>
  <si>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</si>
  <si>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</si>
  <si>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</si>
  <si>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</si>
  <si>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</si>
  <si>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</si>
  <si>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</si>
  <si>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</si>
  <si>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</si>
  <si>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</si>
  <si>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</si>
  <si>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</si>
  <si>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</si>
  <si>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</si>
  <si>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</si>
  <si>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</si>
  <si>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</si>
  <si>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</si>
  <si>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</si>
  <si>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</si>
  <si>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</si>
  <si>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</si>
  <si>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</si>
  <si>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</si>
  <si>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</si>
  <si>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</si>
  <si>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</si>
  <si>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</si>
  <si>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</si>
  <si>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</si>
  <si>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</si>
  <si>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</si>
  <si>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</si>
  <si>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</si>
  <si>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</si>
  <si>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</si>
  <si>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</si>
  <si>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</si>
  <si>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</si>
  <si>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</si>
  <si>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</si>
  <si>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</si>
  <si>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</si>
  <si>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</si>
  <si>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</si>
  <si>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</si>
  <si>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</si>
  <si>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</si>
  <si>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</si>
  <si>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</si>
  <si>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</si>
  <si>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</si>
  <si>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</si>
  <si>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</si>
  <si>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</si>
  <si>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</si>
  <si>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</si>
  <si>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</si>
  <si>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</si>
  <si>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</si>
  <si>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</si>
  <si>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</si>
  <si>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</si>
  <si>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</si>
  <si>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</si>
  <si>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</si>
  <si>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</si>
  <si>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</si>
  <si>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</si>
  <si>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</si>
  <si>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</si>
  <si>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</si>
  <si>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</si>
  <si>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</si>
  <si>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</si>
  <si>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</si>
  <si>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</si>
  <si>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</si>
  <si>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</si>
  <si>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</si>
  <si>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</si>
  <si>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</si>
  <si>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</si>
  <si>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</si>
  <si>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</si>
  <si>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</si>
  <si>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</si>
  <si>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</si>
  <si>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</si>
  <si>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</si>
  <si>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</si>
  <si>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</si>
  <si>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</si>
  <si>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</si>
  <si>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</si>
  <si>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</si>
  <si>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</si>
  <si>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</si>
  <si>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</si>
  <si>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</si>
  <si>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</si>
  <si>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</si>
  <si>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</si>
  <si>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</si>
  <si>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</si>
  <si>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</si>
  <si>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</si>
  <si>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</si>
  <si>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</si>
  <si>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</si>
  <si>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</si>
  <si>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</si>
  <si>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</si>
  <si>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</si>
  <si>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</si>
  <si>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</si>
  <si>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</si>
  <si>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</si>
  <si>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</si>
  <si>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</si>
  <si>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</si>
  <si>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</si>
  <si>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</si>
  <si>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</si>
  <si>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</si>
  <si>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</si>
  <si>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</si>
  <si>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</si>
  <si>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</si>
  <si>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</si>
  <si>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</si>
  <si>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</si>
  <si>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</si>
  <si>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</si>
  <si>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</si>
  <si>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</si>
  <si>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</si>
  <si>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</si>
  <si>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</si>
  <si>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</si>
  <si>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</si>
  <si>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</si>
  <si>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</si>
  <si>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</si>
  <si>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</si>
  <si>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</si>
  <si>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</si>
  <si>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</si>
  <si>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</si>
  <si>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</si>
  <si>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</si>
  <si>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</si>
  <si>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</si>
  <si>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</si>
  <si>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</si>
  <si>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</si>
  <si>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</si>
  <si>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</si>
  <si>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</si>
  <si>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</si>
  <si>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</si>
  <si>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</si>
  <si>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</si>
  <si>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</si>
  <si>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</si>
  <si>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</si>
  <si>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</si>
  <si>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</si>
  <si>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</si>
  <si>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</si>
  <si>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</si>
  <si>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</si>
  <si>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</si>
  <si>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</si>
  <si>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</si>
  <si>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</si>
  <si>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</si>
  <si>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</si>
  <si>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</si>
  <si>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</si>
  <si>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</si>
  <si>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</si>
  <si>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</si>
  <si>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</si>
  <si>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</si>
  <si>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</si>
  <si>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</si>
  <si>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</si>
  <si>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</si>
  <si>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</si>
  <si>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</si>
  <si>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</si>
  <si>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</si>
  <si>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</si>
  <si>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</si>
  <si>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</si>
  <si>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</si>
  <si>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</si>
  <si>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</si>
  <si>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</si>
  <si>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</si>
  <si>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</si>
  <si>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</si>
  <si>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</si>
  <si>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</si>
  <si>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</si>
  <si>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</si>
  <si>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</si>
  <si>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</si>
  <si>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</si>
  <si>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</si>
  <si>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</si>
  <si>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</si>
  <si>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</si>
  <si>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</si>
  <si>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</si>
  <si>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</si>
  <si>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</si>
  <si>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</si>
  <si>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</si>
  <si>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</si>
  <si>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</si>
  <si>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</si>
  <si>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</si>
  <si>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</si>
  <si>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</si>
  <si>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</si>
  <si>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</si>
  <si>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</si>
  <si>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</si>
  <si>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</si>
  <si>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</si>
  <si>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</si>
  <si>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</si>
  <si>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</si>
  <si>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</si>
  <si>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</si>
  <si>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</si>
  <si>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</si>
  <si>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</si>
  <si>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</si>
  <si>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</si>
  <si>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</si>
  <si>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</si>
  <si>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</si>
  <si>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</si>
  <si>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</si>
  <si>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</si>
  <si>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</si>
  <si>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</si>
  <si>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</si>
  <si>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</si>
  <si>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</si>
  <si>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</si>
  <si>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</si>
  <si>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</si>
  <si>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</si>
  <si>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</si>
  <si>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</si>
  <si>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</si>
  <si>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</si>
  <si>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</si>
  <si>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</si>
  <si>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</si>
  <si>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</si>
  <si>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</si>
  <si>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</si>
  <si>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</si>
  <si>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</si>
  <si>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</si>
  <si>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</si>
  <si>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</si>
  <si>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</si>
  <si>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</si>
  <si>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</si>
  <si>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</si>
  <si>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</si>
  <si>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</si>
  <si>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</si>
  <si>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</si>
  <si>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</si>
  <si>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</si>
  <si>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</si>
  <si>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</si>
  <si>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</si>
  <si>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</si>
  <si>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</si>
  <si>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</si>
  <si>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</si>
  <si>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</si>
  <si>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</si>
  <si>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</si>
  <si>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</si>
  <si>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</si>
  <si>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</si>
  <si>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</si>
  <si>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</si>
  <si>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</si>
  <si>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</si>
  <si>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</si>
  <si>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</si>
  <si>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</si>
  <si>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</si>
  <si>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</si>
  <si>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</si>
  <si>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</si>
  <si>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</si>
  <si>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</si>
  <si>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</si>
  <si>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</si>
  <si>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</si>
  <si>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</si>
  <si>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</si>
  <si>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</si>
  <si>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</si>
  <si>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</si>
  <si>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</si>
  <si>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</si>
  <si>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</si>
  <si>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</si>
  <si>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</si>
  <si>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</si>
  <si>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</si>
  <si>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</si>
  <si>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</si>
  <si>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</si>
  <si>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</si>
  <si>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</si>
  <si>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</si>
  <si>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</si>
  <si>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</si>
  <si>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</si>
  <si>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</si>
  <si>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</si>
  <si>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</si>
  <si>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</si>
  <si>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</si>
  <si>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</si>
  <si>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</si>
  <si>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</si>
  <si>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</si>
  <si>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</si>
  <si>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</si>
  <si>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</si>
  <si>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</si>
  <si>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</si>
  <si>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</si>
  <si>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</si>
  <si>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</si>
  <si>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</si>
  <si>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</si>
  <si>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</si>
  <si>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</si>
  <si>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</si>
  <si>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</si>
  <si>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</si>
  <si>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</si>
  <si>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</si>
  <si>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</si>
  <si>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</si>
  <si>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</si>
  <si>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</si>
  <si>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</si>
  <si>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</si>
  <si>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</si>
  <si>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</si>
  <si>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</si>
  <si>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</si>
  <si>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</si>
  <si>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</si>
  <si>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</si>
  <si>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</si>
  <si>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</si>
  <si>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</si>
  <si>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</si>
  <si>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</si>
  <si>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</si>
  <si>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</si>
  <si>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</si>
  <si>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</si>
  <si>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</si>
  <si>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</si>
  <si>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</si>
  <si>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</si>
  <si>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</si>
  <si>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</si>
  <si>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</si>
  <si>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</si>
  <si>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</si>
  <si>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</si>
  <si>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</si>
  <si>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</si>
  <si>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</si>
  <si>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</si>
  <si>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</si>
  <si>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</si>
  <si>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</si>
  <si>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</si>
  <si>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</si>
  <si>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</si>
  <si>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</si>
  <si>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</si>
  <si>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</si>
  <si>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</si>
  <si>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</si>
  <si>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</si>
  <si>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</si>
  <si>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</si>
  <si>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</si>
  <si>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</si>
  <si>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</si>
  <si>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</si>
  <si>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</si>
  <si>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</si>
  <si>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</si>
  <si>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</si>
  <si>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</si>
  <si>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</si>
  <si>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</si>
  <si>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</si>
  <si>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</si>
  <si>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</si>
  <si>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</si>
  <si>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</si>
  <si>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</si>
  <si>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</si>
  <si>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</si>
  <si>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</si>
  <si>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</si>
  <si>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</si>
  <si>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</si>
  <si>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</si>
  <si>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</si>
  <si>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</si>
  <si>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</si>
  <si>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</si>
  <si>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</si>
  <si>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</si>
  <si>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</si>
  <si>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</si>
  <si>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</si>
  <si>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</si>
  <si>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</si>
  <si>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</si>
  <si>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</si>
  <si>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</si>
  <si>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</si>
  <si>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</si>
  <si>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</si>
  <si>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</si>
  <si>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</si>
  <si>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</si>
  <si>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</si>
  <si>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</si>
  <si>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</si>
  <si>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</si>
  <si>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</si>
  <si>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</si>
  <si>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</si>
  <si>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</si>
  <si>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</si>
  <si>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</si>
  <si>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</si>
  <si>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</si>
  <si>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</si>
  <si>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</si>
  <si>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</si>
  <si>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</si>
  <si>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</si>
  <si>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</si>
  <si>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</si>
  <si>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</si>
  <si>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</si>
  <si>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</si>
  <si>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</si>
  <si>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</si>
  <si>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</si>
  <si>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</si>
  <si>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</si>
  <si>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</si>
  <si>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</si>
  <si>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</si>
  <si>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</si>
  <si>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</si>
  <si>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</si>
  <si>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</si>
  <si>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</si>
  <si>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</si>
  <si>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</si>
  <si>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</si>
  <si>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</si>
  <si>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</si>
  <si>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</si>
  <si>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</si>
  <si>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</si>
  <si>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</si>
  <si>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</si>
  <si>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</si>
  <si>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</si>
  <si>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</si>
  <si>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</si>
  <si>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</si>
  <si>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</si>
  <si>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</si>
  <si>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</si>
  <si>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</si>
  <si>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</si>
  <si>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</si>
  <si>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</si>
  <si>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</si>
  <si>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</si>
  <si>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</si>
  <si>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</si>
  <si>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</si>
  <si>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</si>
  <si>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</si>
  <si>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</si>
  <si>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</si>
  <si>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</si>
  <si>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</si>
  <si>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</si>
  <si>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</si>
  <si>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</si>
  <si>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</si>
  <si>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</si>
  <si>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</si>
  <si>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</si>
  <si>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</si>
  <si>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</si>
  <si>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</si>
  <si>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</si>
  <si>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</si>
  <si>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</si>
  <si>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</si>
  <si>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</si>
  <si>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</si>
  <si>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</si>
  <si>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</si>
  <si>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</si>
  <si>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</si>
  <si>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</si>
  <si>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</si>
  <si>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</si>
  <si>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</si>
  <si>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</si>
  <si>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</si>
  <si>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</si>
  <si>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</si>
  <si>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</si>
  <si>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</si>
  <si>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</si>
  <si>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</si>
  <si>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</si>
  <si>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</si>
  <si>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</si>
  <si>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</si>
  <si>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</si>
  <si>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</si>
  <si>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</si>
  <si>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</si>
  <si>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</si>
  <si>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</si>
  <si>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</si>
  <si>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</si>
  <si>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</si>
  <si>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</si>
  <si>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</si>
  <si>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</si>
  <si>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</si>
  <si>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</si>
  <si>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</si>
  <si>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</si>
  <si>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</si>
  <si>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</si>
  <si>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</si>
  <si>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</si>
  <si>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</si>
  <si>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</si>
  <si>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</si>
  <si>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</si>
  <si>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</si>
  <si>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</si>
  <si>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</si>
  <si>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</si>
  <si>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</si>
  <si>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</si>
  <si>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</si>
  <si>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</si>
  <si>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</si>
  <si>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</si>
  <si>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</si>
  <si>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</si>
  <si>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</si>
  <si>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</si>
  <si>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</si>
  <si>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</si>
  <si>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</si>
  <si>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</si>
  <si>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</si>
  <si>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</si>
  <si>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</si>
  <si>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</si>
  <si>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</si>
  <si>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</si>
  <si>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</si>
  <si>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</si>
  <si>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</si>
  <si>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</si>
  <si>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</si>
  <si>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</si>
  <si>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</si>
  <si>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</si>
  <si>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</si>
  <si>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</si>
  <si>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</si>
  <si>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</si>
  <si>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</si>
  <si>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</si>
  <si>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</si>
  <si>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</si>
  <si>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</si>
  <si>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</si>
  <si>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</si>
  <si>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</si>
  <si>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</si>
  <si>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</si>
  <si>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</si>
  <si>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</si>
  <si>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</si>
  <si>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</si>
  <si>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</si>
  <si>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</si>
  <si>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</si>
  <si>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</si>
  <si>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</si>
  <si>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</si>
  <si>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</si>
  <si>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</si>
  <si>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</si>
  <si>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</si>
  <si>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</si>
  <si>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</si>
  <si>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</si>
  <si>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</si>
  <si>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</si>
  <si>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</si>
  <si>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</si>
  <si>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</si>
  <si>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</si>
  <si>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</si>
  <si>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</si>
  <si>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</si>
  <si>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</si>
  <si>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</si>
  <si>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</si>
  <si>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</si>
  <si>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</si>
  <si>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</si>
  <si>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</si>
  <si>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</si>
  <si>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</si>
  <si>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</si>
  <si>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</si>
  <si>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</si>
  <si>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</si>
  <si>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</si>
  <si>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</si>
  <si>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</si>
  <si>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</si>
  <si>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</si>
  <si>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</si>
  <si>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</si>
  <si>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</si>
  <si>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</si>
  <si>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</si>
  <si>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</si>
  <si>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</si>
  <si>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</si>
  <si>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</si>
  <si>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</si>
  <si>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</si>
  <si>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</si>
  <si>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</si>
  <si>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</si>
  <si>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</si>
  <si>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</si>
  <si>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</si>
  <si>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</si>
  <si>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</si>
  <si>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</si>
  <si>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</si>
  <si>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</si>
  <si>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</si>
  <si>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</si>
  <si>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</si>
  <si>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</si>
  <si>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</si>
  <si>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</si>
  <si>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</si>
  <si>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</si>
  <si>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</si>
  <si>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</si>
  <si>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</si>
  <si>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</si>
  <si>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</si>
  <si>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</si>
  <si>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</si>
  <si>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</si>
  <si>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</si>
  <si>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</si>
  <si>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</si>
  <si>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</si>
  <si>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</si>
  <si>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</si>
  <si>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</si>
  <si>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</si>
  <si>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</si>
  <si>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</si>
  <si>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</si>
  <si>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</si>
  <si>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</si>
  <si>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</si>
  <si>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</si>
  <si>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</si>
  <si>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</si>
  <si>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</si>
  <si>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</si>
  <si>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</si>
  <si>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</si>
  <si>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</si>
  <si>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</si>
  <si>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</si>
  <si>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</si>
  <si>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</si>
  <si>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</si>
  <si>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</si>
  <si>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</si>
  <si>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</si>
  <si>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</si>
  <si>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</si>
  <si>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</si>
  <si>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</si>
  <si>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</si>
  <si>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</si>
  <si>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</si>
  <si>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</si>
  <si>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</si>
  <si>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</si>
  <si>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</si>
  <si>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</si>
  <si>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</si>
  <si>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</si>
  <si>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</si>
  <si>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</si>
  <si>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</si>
  <si>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</si>
  <si>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</si>
  <si>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</si>
  <si>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</si>
  <si>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</si>
  <si>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</si>
  <si>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</si>
  <si>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</si>
  <si>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</si>
  <si>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</si>
  <si>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</si>
  <si>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</si>
  <si>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</si>
  <si>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</si>
  <si>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</si>
  <si>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</si>
  <si>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</si>
  <si>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</si>
  <si>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</si>
  <si>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</si>
  <si>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</si>
  <si>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</si>
  <si>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</si>
  <si>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</si>
  <si>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</si>
  <si>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</si>
  <si>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</si>
  <si>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</si>
  <si>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</si>
  <si>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</si>
  <si>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</si>
  <si>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</si>
  <si>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</si>
  <si>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</si>
  <si>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</si>
  <si>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</si>
  <si>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</si>
  <si>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</si>
  <si>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</si>
  <si>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</si>
  <si>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</si>
  <si>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</si>
  <si>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</si>
  <si>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</si>
  <si>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</si>
  <si>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</si>
  <si>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</si>
  <si>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</si>
  <si>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</si>
  <si>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</si>
  <si>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</si>
  <si>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</si>
  <si>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</si>
  <si>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</si>
  <si>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</si>
  <si>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</si>
  <si>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</si>
  <si>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</si>
  <si>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</si>
  <si>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</si>
  <si>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</si>
  <si>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</si>
  <si>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</si>
  <si>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</si>
  <si>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</si>
  <si>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</si>
  <si>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</si>
  <si>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</si>
  <si>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</si>
  <si>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</si>
  <si>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</si>
  <si>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</si>
  <si>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</si>
  <si>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</si>
  <si>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</si>
  <si>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</si>
  <si>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</si>
  <si>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</si>
  <si>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</si>
  <si>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</si>
  <si>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</si>
  <si>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</si>
  <si>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MALAGA</t>
  </si>
  <si>
    <t>Resumenes por Partidos Judiciales</t>
  </si>
  <si>
    <t>TORROX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</si>
</sst>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Tf1Bi04bTdcW+4FWvs7e+M6/Mr1K2GwpBZFj0xHZEdU5IRrq37WWm/VLaWmB0xgDlyRrvVrtM5T6bCcZh58IQ==" saltValue="UMptqq05pjukzbsucXS6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MALAGA</v>
      </c>
      <c r="D3" s="375"/>
      <c r="E3" s="375"/>
      <c r="F3" s="375"/>
    </row>
    <row r="4" spans="1:14" ht="13.5" thickBot="1">
      <c r="A4" s="375"/>
      <c r="B4" s="391" t="str">
        <f>Criterios!A11 &amp;"  "&amp;Criterios!B11</f>
        <v>Resumenes por Partidos Judiciales  TORROX</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v>
      </c>
      <c r="D10" s="404">
        <f>IF(ISNUMBER(C10/Datos!BH10),C10/Datos!BH10," - ")</f>
        <v>1</v>
      </c>
      <c r="E10" s="403">
        <f>IF(ISNUMBER(Datos!J10),Datos!J10," - ")</f>
        <v>9</v>
      </c>
      <c r="F10" s="404">
        <f>IF(ISNUMBER(E10/B10),E10/B10," - ")</f>
        <v>9</v>
      </c>
      <c r="G10" s="403">
        <f>IF(ISNUMBER(Datos!K10),Datos!K10," - ")</f>
        <v>0</v>
      </c>
      <c r="H10" s="404">
        <f>IF(ISNUMBER(G10/B10),G10/B10," - ")</f>
        <v>0</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1931</v>
      </c>
      <c r="D12" s="404">
        <f>IF(ISNUMBER(C12/Datos!BH12),C12/Datos!BH12," - ")</f>
        <v>965.5</v>
      </c>
      <c r="E12" s="403">
        <f>IF(ISNUMBER(IF(J_V="SI",Datos!J12,Datos!J12+Datos!Z12)),IF(J_V="SI",Datos!J12,Datos!J12+Datos!Z12)," - ")</f>
        <v>707</v>
      </c>
      <c r="F12" s="404">
        <f>IF(ISNUMBER(E12/B12),E12/B12," - ")</f>
        <v>353.5</v>
      </c>
      <c r="G12" s="403">
        <f>IF(ISNUMBER(IF(J_V="SI",Datos!K12,Datos!K12+Datos!AA12)),IF(J_V="SI",Datos!K12,Datos!K12+Datos!AA12)," - ")</f>
        <v>423</v>
      </c>
      <c r="H12" s="404">
        <f>IF(ISNUMBER(G12/B12),G12/B12," - ")</f>
        <v>211.5</v>
      </c>
      <c r="I12" s="403">
        <f>IF(ISNUMBER(IF(J_V="SI",Datos!L12,Datos!L12+Datos!AB12)),IF(J_V="SI",Datos!L12,Datos!L12+Datos!AB12)," - ")</f>
        <v>2272</v>
      </c>
      <c r="J12" s="404">
        <f>IF(ISNUMBER(I12/B12),I12/B12," - ")</f>
        <v>1136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1932</v>
      </c>
      <c r="D13" s="850" t="str">
        <f>IF(ISNUMBER(C13/Datos!BI13),C13/Datos!BI13," - ")</f>
        <v xml:space="preserve"> - </v>
      </c>
      <c r="E13" s="849">
        <f>SUBTOTAL(9,E8:E12)</f>
        <v>716</v>
      </c>
      <c r="F13" s="850">
        <f>IF(ISNUMBER(E13/B13),E13/B13," - ")</f>
        <v>358</v>
      </c>
      <c r="G13" s="849">
        <f>SUBTOTAL(9,G8:G12)</f>
        <v>423</v>
      </c>
      <c r="H13" s="850">
        <f>IF(ISNUMBER(G13/B13),G13/B13," - ")</f>
        <v>211.5</v>
      </c>
      <c r="I13" s="849">
        <f>SUBTOTAL(9,I8:I12)</f>
        <v>2282</v>
      </c>
      <c r="J13" s="850">
        <f>IF(ISNUMBER(I13/B13),I13/B13," - ")</f>
        <v>1141</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1058</v>
      </c>
      <c r="D16" s="404">
        <f>IF(ISNUMBER(C16/Datos!BH16),C16/Datos!BH16," - ")</f>
        <v>529</v>
      </c>
      <c r="E16" s="403">
        <f>IF(ISNUMBER(IF(D_I="SI",Datos!J16,Datos!J16+Datos!AD16)),IF(D_I="SI",Datos!J16,Datos!J16+Datos!AD16)," - ")</f>
        <v>1018</v>
      </c>
      <c r="F16" s="404">
        <f>IF(ISNUMBER(E16/B16),E16/B16," - ")</f>
        <v>509</v>
      </c>
      <c r="G16" s="403">
        <f>IF(ISNUMBER(IF(D_I="SI",Datos!K16,Datos!K16+Datos!AE16)),IF(D_I="SI",Datos!K16,Datos!K16+Datos!AE16)," - ")</f>
        <v>881</v>
      </c>
      <c r="H16" s="404">
        <f>IF(ISNUMBER(G16/B16),G16/B16," - ")</f>
        <v>440.5</v>
      </c>
      <c r="I16" s="403">
        <f>IF(ISNUMBER(IF(D_I="SI",Datos!L16,Datos!L16+Datos!AF16)),IF(D_I="SI",Datos!L16,Datos!L16+Datos!AF16)," - ")</f>
        <v>1049</v>
      </c>
      <c r="J16" s="404">
        <f>IF(ISNUMBER(I16/B16),I16/B16," - ")</f>
        <v>524.5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70</v>
      </c>
      <c r="D17" s="404">
        <f>IF(ISNUMBER(C17/Datos!BH17),C17/Datos!BH17," - ")</f>
        <v>70</v>
      </c>
      <c r="E17" s="403">
        <f>IF(ISNUMBER(IF(D_I="SI",Datos!J17,Datos!J17+Datos!AD17)),IF(D_I="SI",Datos!J17,Datos!J17+Datos!AD17)," - ")</f>
        <v>37</v>
      </c>
      <c r="F17" s="404">
        <f>IF(ISNUMBER(E17/B17),E17/B17," - ")</f>
        <v>37</v>
      </c>
      <c r="G17" s="403">
        <f>IF(ISNUMBER(IF(D_I="SI",Datos!K17,Datos!K17+Datos!AE17)),IF(D_I="SI",Datos!K17,Datos!K17+Datos!AE17)," - ")</f>
        <v>33</v>
      </c>
      <c r="H17" s="404">
        <f>IF(ISNUMBER(G17/B17),G17/B17," - ")</f>
        <v>33</v>
      </c>
      <c r="I17" s="403">
        <f>IF(ISNUMBER(IF(D_I="SI",Datos!L17,Datos!L17+Datos!AF17)),IF(D_I="SI",Datos!L17,Datos!L17+Datos!AF17)," - ")</f>
        <v>74</v>
      </c>
      <c r="J17" s="404">
        <f>IF(ISNUMBER(I17/B17),I17/B17," - ")</f>
        <v>74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1128</v>
      </c>
      <c r="D18" s="850" t="str">
        <f>IF(ISNUMBER(C18/Datos!BI18),C18/Datos!BI18," - ")</f>
        <v xml:space="preserve"> - </v>
      </c>
      <c r="E18" s="849">
        <f>SUBTOTAL(9,E14:E17)</f>
        <v>1055</v>
      </c>
      <c r="F18" s="850">
        <f>IF(ISNUMBER(E18/B18),E18/B18," - ")</f>
        <v>527.5</v>
      </c>
      <c r="G18" s="849">
        <f>SUBTOTAL(9,G14:G17)</f>
        <v>914</v>
      </c>
      <c r="H18" s="850">
        <f>IF(ISNUMBER(G18/B18),G18/B18," - ")</f>
        <v>457</v>
      </c>
      <c r="I18" s="849">
        <f>SUBTOTAL(9,I14:I17)</f>
        <v>1123</v>
      </c>
      <c r="J18" s="850">
        <f>IF(ISNUMBER(I18/B18),I18/B18," - ")</f>
        <v>561.5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3060</v>
      </c>
      <c r="D19" s="795" t="str">
        <f>IF(ISNUMBER(C19/Datos!BI19),C19/Datos!BI19," - ")</f>
        <v xml:space="preserve"> - </v>
      </c>
      <c r="E19" s="794">
        <f>SUBTOTAL(9,E9:E18)</f>
        <v>1771</v>
      </c>
      <c r="F19" s="795">
        <f>IF(ISNUMBER(E19/B19),E19/B19," - ")</f>
        <v>885.5</v>
      </c>
      <c r="G19" s="794">
        <f>SUBTOTAL(9,G9:G18)</f>
        <v>1337</v>
      </c>
      <c r="H19" s="795">
        <f>IF(ISNUMBER(G19/B19),G19/B19," - ")</f>
        <v>668.5</v>
      </c>
      <c r="I19" s="794">
        <f>SUBTOTAL(9,I9:I18)</f>
        <v>3405</v>
      </c>
      <c r="J19" s="795">
        <f>IF(ISNUMBER(I19/B19),I19/B19," - ")</f>
        <v>1702.5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TlqqaNXA5XZ/QnsvixU/RyR8Urm3iMbTt4XQqRB+Ty4ZWHkqfBVUFjnShLovLP4azKemTcXrUwMmoNlkMAZ5ig==" saltValue="shrowAG694u8fUQz0zowZ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TORROX</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nOsWcA/5j2JA6FVcAzACeY+iq9LBfKpl6ZLgYoIiQxZvhKLgt7u7BoewmRgLA5Yg/Qv953en7fLvWmlASPIp4g==" saltValue="ati+pVNF7Evt/gmCLVsjw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MALAGA</v>
      </c>
      <c r="C3" s="391"/>
      <c r="D3" s="425"/>
    </row>
    <row r="4" spans="1:9" ht="13.5" thickBot="1">
      <c r="B4" s="391" t="str">
        <f>Criterios!A11 &amp;"  "&amp;Criterios!B11</f>
        <v>Resumenes por Partidos Judiciales  TORROX</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108</v>
      </c>
      <c r="E12" s="404">
        <f t="shared" si="0"/>
        <v>54</v>
      </c>
      <c r="F12" s="403">
        <f>IF(ISNUMBER(Datos!N12),Datos!N12," - ")</f>
        <v>108</v>
      </c>
      <c r="G12" s="404">
        <f t="shared" si="1"/>
        <v>54</v>
      </c>
      <c r="H12" s="403">
        <f>IF(ISNUMBER(Datos!O12),Datos!O12," - ")</f>
        <v>230</v>
      </c>
      <c r="I12" s="404">
        <f t="shared" si="2"/>
        <v>115</v>
      </c>
    </row>
    <row r="13" spans="1:9" ht="14.25" thickTop="1" thickBot="1">
      <c r="A13" s="848" t="str">
        <f>Datos!A13</f>
        <v>TOTAL</v>
      </c>
      <c r="B13" s="849">
        <f>Datos!AO13</f>
        <v>3</v>
      </c>
      <c r="C13" s="851">
        <f>Datos!AR13</f>
        <v>2</v>
      </c>
      <c r="D13" s="849">
        <f>SUBTOTAL(9,D9:D12)</f>
        <v>108</v>
      </c>
      <c r="E13" s="850">
        <f t="shared" si="0"/>
        <v>36</v>
      </c>
      <c r="F13" s="849">
        <f>SUBTOTAL(9,F9:F12)</f>
        <v>108</v>
      </c>
      <c r="G13" s="850">
        <f t="shared" si="1"/>
        <v>36</v>
      </c>
      <c r="H13" s="849">
        <f>SUBTOTAL(9,H9:H12)</f>
        <v>230</v>
      </c>
      <c r="I13" s="850">
        <f>IF(ISNUMBER(H13/B13),H13/B13," - ")</f>
        <v>76.666666666666671</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72</v>
      </c>
      <c r="E16" s="404">
        <f t="shared" si="3"/>
        <v>36</v>
      </c>
      <c r="F16" s="403">
        <f>IF(ISNUMBER(Datos!N16),Datos!N16," - ")</f>
        <v>700</v>
      </c>
      <c r="G16" s="404">
        <f t="shared" si="4"/>
        <v>350</v>
      </c>
      <c r="H16" s="403">
        <f>IF(ISNUMBER(Datos!O16),Datos!O16," - ")</f>
        <v>2</v>
      </c>
      <c r="I16" s="404">
        <f t="shared" si="5"/>
        <v>1</v>
      </c>
    </row>
    <row r="17" spans="1:9" ht="13.5" thickBot="1">
      <c r="A17" s="402" t="str">
        <f>Datos!A17</f>
        <v>Jdos. Violencia contra la mujer</v>
      </c>
      <c r="B17" s="427">
        <f>Datos!AO17</f>
        <v>1</v>
      </c>
      <c r="C17" s="428">
        <f>Datos!AQ17</f>
        <v>0</v>
      </c>
      <c r="D17" s="403">
        <f>IF(ISNUMBER(Datos!M17),Datos!M17," - ")</f>
        <v>1</v>
      </c>
      <c r="E17" s="404">
        <f>IF(ISNUMBER(D17/B17),D17/B17," - ")</f>
        <v>1</v>
      </c>
      <c r="F17" s="403">
        <f>IF(ISNUMBER(Datos!N17),Datos!N17," - ")</f>
        <v>19</v>
      </c>
      <c r="G17" s="404">
        <f>IF(ISNUMBER(F17/B17),F17/B17," - ")</f>
        <v>19</v>
      </c>
      <c r="H17" s="403">
        <f>IF(ISNUMBER(Datos!O17),Datos!O17," - ")</f>
        <v>0</v>
      </c>
      <c r="I17" s="404">
        <f t="shared" si="5"/>
        <v>0</v>
      </c>
    </row>
    <row r="18" spans="1:9" ht="14.25" thickTop="1" thickBot="1">
      <c r="A18" s="848" t="str">
        <f>Datos!A18</f>
        <v>TOTAL</v>
      </c>
      <c r="B18" s="849">
        <f>Datos!AO18</f>
        <v>3</v>
      </c>
      <c r="C18" s="851">
        <f>Datos!AR18</f>
        <v>2</v>
      </c>
      <c r="D18" s="849">
        <f>SUBTOTAL(9,D15:D17)</f>
        <v>73</v>
      </c>
      <c r="E18" s="850">
        <f t="shared" si="3"/>
        <v>24.333333333333332</v>
      </c>
      <c r="F18" s="849">
        <f>SUBTOTAL(9,F15:F17)</f>
        <v>719</v>
      </c>
      <c r="G18" s="850">
        <f t="shared" si="4"/>
        <v>239.66666666666666</v>
      </c>
      <c r="H18" s="849">
        <f>SUBTOTAL(9,H15:H17)</f>
        <v>2</v>
      </c>
      <c r="I18" s="850">
        <f>IF(ISNUMBER(H18/B18),H18/B18," - ")</f>
        <v>0.66666666666666663</v>
      </c>
    </row>
    <row r="19" spans="1:9" ht="14.25" thickTop="1" thickBot="1">
      <c r="A19" s="793" t="str">
        <f>Datos!A19</f>
        <v>TOTAL JURISDICCIONES</v>
      </c>
      <c r="B19" s="794">
        <f>Datos!AP19</f>
        <v>2</v>
      </c>
      <c r="C19" s="794">
        <f>Datos!AR19</f>
        <v>2</v>
      </c>
      <c r="D19" s="794">
        <f>SUBTOTAL(9,D8:D18)</f>
        <v>181</v>
      </c>
      <c r="E19" s="795">
        <f>IF(ISNUMBER(D19/B19),D19/B19," - ")</f>
        <v>90.5</v>
      </c>
      <c r="F19" s="794">
        <f>SUBTOTAL(9,F8:F18)</f>
        <v>827</v>
      </c>
      <c r="G19" s="795">
        <f>IF(ISNUMBER(F19/B19),F19/B19," - ")</f>
        <v>413.5</v>
      </c>
      <c r="H19" s="794">
        <f>SUBTOTAL(9,H8:H18)</f>
        <v>232</v>
      </c>
      <c r="I19" s="795">
        <f>IF(ISNUMBER(H19/B19),H19/B19," - ")</f>
        <v>116</v>
      </c>
    </row>
    <row r="22" spans="1:9">
      <c r="A22" s="391" t="str">
        <f>Criterios!A4</f>
        <v>Fecha Informe: 29 may. 2024</v>
      </c>
    </row>
    <row r="27" spans="1:9">
      <c r="A27" s="414"/>
    </row>
  </sheetData>
  <sheetProtection algorithmName="SHA-512" hashValue="d5YbHD1ErYVxzf6HZdgoeEPa8lmbmr0ntpzsNpNyBRn9WeBiCSO/wJiwlz0LqJFsRfxJ+XGfzTsXiOvg3bWxXw==" saltValue="lOGe15phPZ4ugHhKwazF0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TORROX</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114</v>
      </c>
      <c r="C12" s="434">
        <f>IF(ISNUMBER(Datos!Q12),Datos!Q12," - ")</f>
        <v>164</v>
      </c>
      <c r="D12" s="408">
        <f>IF(ISNUMBER(Datos!R12),Datos!R12," - ")</f>
        <v>1444</v>
      </c>
    </row>
    <row r="13" spans="1:4" ht="14.25" thickTop="1" thickBot="1">
      <c r="A13" s="848" t="str">
        <f>Datos!A13</f>
        <v>TOTAL</v>
      </c>
      <c r="B13" s="849">
        <f>SUBTOTAL(9,B9:B12)</f>
        <v>114</v>
      </c>
      <c r="C13" s="853">
        <f>SUBTOTAL(9,C9:C12)</f>
        <v>164</v>
      </c>
      <c r="D13" s="851">
        <f>SUBTOTAL(9,D9:D12)</f>
        <v>1444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5</v>
      </c>
      <c r="D16" s="408">
        <f>IF(ISNUMBER(Datos!R16),Datos!R16," - ")</f>
        <v>65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5</v>
      </c>
      <c r="D18" s="851">
        <f>SUBTOTAL(9,D15:D17)</f>
        <v>65</v>
      </c>
    </row>
    <row r="19" spans="1:4" ht="16.5" customHeight="1" thickTop="1" thickBot="1">
      <c r="A19" s="793" t="str">
        <f>Datos!A19</f>
        <v>TOTAL JURISDICCIONES</v>
      </c>
      <c r="B19" s="798">
        <f>SUBTOTAL(9,B8:B18)</f>
        <v>127</v>
      </c>
      <c r="C19" s="799">
        <f>SUBTOTAL(9,C8:C18)</f>
        <v>169</v>
      </c>
      <c r="D19" s="800">
        <f>SUBTOTAL(9,D8:D18)</f>
        <v>1509</v>
      </c>
    </row>
    <row r="20" spans="1:4" ht="7.5" customHeight="1"/>
    <row r="21" spans="1:4" ht="6" customHeight="1"/>
    <row r="22" spans="1:4">
      <c r="A22" s="391" t="str">
        <f>Criterios!A4</f>
        <v>Fecha Informe: 29 may. 2024</v>
      </c>
    </row>
    <row r="27" spans="1:4">
      <c r="A27" s="414"/>
    </row>
  </sheetData>
  <sheetProtection algorithmName="SHA-512" hashValue="GDkAtPDA7XRu7Gedpx5qznOqCLPxDd2HPr9UGn8R1iFlqQ1AYhaWv41zGKmENGwCopdGanfi1qRB6P9huGZn+g==" saltValue="fZUQrLTTbjmE1qWc9kQR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TORROX</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-0.83333333333333337</v>
      </c>
      <c r="C10" s="456">
        <f>IF(ISNUMBER((Datos!J10-Datos!T10)/Datos!T10),(Datos!J10-Datos!T10)/Datos!T10," - ")</f>
        <v>0.5</v>
      </c>
      <c r="D10" s="456">
        <f>IF(ISNUMBER((Datos!K10-Datos!U10)/Datos!U10),(Datos!K10-Datos!U10)/Datos!U10," - ")</f>
        <v>-1</v>
      </c>
      <c r="E10" s="456">
        <f>IF(ISNUMBER((Datos!L10-Datos!V10)/Datos!V10),(Datos!L10-Datos!V10)/Datos!V10," - ")</f>
        <v>0.42857142857142855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0.37339971550497864</v>
      </c>
      <c r="C12" s="456">
        <f>IF(ISNUMBER(
   IF(J_V="SI",(Datos!J12-Datos!T12)/Datos!T12,(Datos!J12+Datos!Z12-(Datos!T12+Datos!AH12))/(Datos!T12+Datos!AH12))
     ),IF(J_V="SI",(Datos!J12-Datos!T12)/Datos!T12,(Datos!J12+Datos!Z12-(Datos!T12+Datos!AH12))/(Datos!T12+Datos!AH12))," - ")</f>
        <v>0.30442804428044279</v>
      </c>
      <c r="D12" s="456">
        <f>IF(ISNUMBER(
   IF(J_V="SI",(Datos!K12-Datos!U12)/Datos!U12,(Datos!K12+Datos!AA12-(Datos!U12+Datos!AI12))/(Datos!U12+Datos!AI12))
     ),IF(J_V="SI",(Datos!K12-Datos!U12)/Datos!U12,(Datos!K12+Datos!AA12-(Datos!U12+Datos!AI12))/(Datos!U12+Datos!AI12))," - ")</f>
        <v>0.19491525423728814</v>
      </c>
      <c r="E12" s="456">
        <f>IF(ISNUMBER(
   IF(J_V="SI",(Datos!L12-Datos!V12)/Datos!V12,(Datos!L12+Datos!AB12-(Datos!V12+Datos!AJ12))/(Datos!V12+Datos!AJ12))
     ),IF(J_V="SI",(Datos!L12-Datos!V12)/Datos!V12,(Datos!L12+Datos!AB12-(Datos!V12+Datos!AJ12))/(Datos!V12+Datos!AJ12))," - ")</f>
        <v>0.42534504391468003</v>
      </c>
      <c r="F12" s="456">
        <f>IF(ISNUMBER((Datos!M12-Datos!W12)/Datos!W12),(Datos!M12-Datos!W12)/Datos!W12," - ")</f>
        <v>0.18681318681318682</v>
      </c>
      <c r="G12" s="457">
        <f>IF(ISNUMBER((Datos!N12-Datos!X12)/Datos!X12),(Datos!N12-Datos!X12)/Datos!X12," - ")</f>
        <v>0.14893617021276595</v>
      </c>
      <c r="H12" s="455">
        <f>IF(ISNUMBER(((NºAsuntos!G12/NºAsuntos!E12)-Datos!BD12)/Datos!BD12),((NºAsuntos!G12/NºAsuntos!E12)-Datos!BD12)/Datos!BD12," - ")</f>
        <v>-8.3954642437609417E-2</v>
      </c>
      <c r="I12" s="456">
        <f>IF(ISNUMBER(((NºAsuntos!I12/NºAsuntos!G12)-Datos!BE12)/Datos!BE12),((NºAsuntos!I12/NºAsuntos!G12)-Datos!BE12)/Datos!BE12," - ")</f>
        <v>0.19284195164490944</v>
      </c>
      <c r="J12" s="461">
        <f>IF(ISNUMBER((('Resol  Asuntos'!D12/NºAsuntos!G12)-Datos!BF12)/Datos!BF12),(('Resol  Asuntos'!D12/NºAsuntos!G12)-Datos!BF12)/Datos!BF12," - ")</f>
        <v>-3.8478949751018621E-2</v>
      </c>
      <c r="K12" s="462">
        <f>IF(ISNUMBER((((NºAsuntos!C12+NºAsuntos!E12)/NºAsuntos!G12)-Datos!BG12)/Datos!BG12),(((NºAsuntos!C12+NºAsuntos!E12)/NºAsuntos!G12)-Datos!BG12)/Datos!BG12," - ")</f>
        <v>0.13331003247557047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0.36827195467422097</v>
      </c>
      <c r="C13" s="855">
        <f>IF(ISNUMBER(
   IF(J_V="SI",(Datos!J13-Datos!T13)/Datos!T13,(Datos!J13+Datos!Z13-(Datos!T13+Datos!AH13))/(Datos!T13+Datos!AH13))
     ),IF(J_V="SI",(Datos!J13-Datos!T13)/Datos!T13,(Datos!J13+Datos!Z13-(Datos!T13+Datos!AH13))/(Datos!T13+Datos!AH13))," - ")</f>
        <v>0.30656934306569344</v>
      </c>
      <c r="D13" s="855">
        <f>IF(ISNUMBER(
   IF(J_V="SI",(Datos!K13-Datos!U13)/Datos!U13,(Datos!K13+Datos!AA13-(Datos!U13+Datos!AI13))/(Datos!U13+Datos!AI13))
     ),IF(J_V="SI",(Datos!K13-Datos!U13)/Datos!U13,(Datos!K13+Datos!AA13-(Datos!U13+Datos!AI13))/(Datos!U13+Datos!AI13))," - ")</f>
        <v>0.17827298050139276</v>
      </c>
      <c r="E13" s="855">
        <f>IF(ISNUMBER(
   IF(J_V="SI",(Datos!L13-Datos!V13)/Datos!V13,(Datos!L13+Datos!AB13-(Datos!V13+Datos!AJ13))/(Datos!V13+Datos!AJ13))
     ),IF(J_V="SI",(Datos!L13-Datos!V13)/Datos!V13,(Datos!L13+Datos!AB13-(Datos!V13+Datos!AJ13))/(Datos!V13+Datos!AJ13))," - ")</f>
        <v>0.42535915053091816</v>
      </c>
      <c r="F13" s="856">
        <f>IF(ISNUMBER((Datos!M13-Datos!W13)/Datos!W13),(Datos!M13-Datos!W13)/Datos!W13," - ")</f>
        <v>0.18681318681318682</v>
      </c>
      <c r="G13" s="857">
        <f>IF(ISNUMBER((Datos!N13-Datos!X13)/Datos!X13),(Datos!N13-Datos!X13)/Datos!X13," - ")</f>
        <v>0.14893617021276595</v>
      </c>
      <c r="H13" s="857">
        <f>IF(ISNUMBER(((NºAsuntos!G13/NºAsuntos!E13)-Datos!BD13)/Datos!BD13),((NºAsuntos!G13/NºAsuntos!E13)-Datos!BD13)/Datos!BD13," - ")</f>
        <v>-9.8193305426308303E-2</v>
      </c>
      <c r="I13" s="857">
        <f>IF(ISNUMBER(((NºAsuntos!I13/NºAsuntos!G13)-Datos!BE13)/Datos!BE13),((NºAsuntos!I13/NºAsuntos!G13)-Datos!BE13)/Datos!BE13," - ")</f>
        <v>0.20970197409125202</v>
      </c>
      <c r="J13" s="857">
        <f>IF(ISNUMBER((('Resol  Asuntos'!D13/NºAsuntos!G13)-Datos!BF13)/Datos!BF13),(('Resol  Asuntos'!D13/NºAsuntos!G13)-Datos!BF13)/Datos!BF13," - ")</f>
        <v>-2.4898143956541451E-2</v>
      </c>
      <c r="K13" s="857">
        <f>IF(ISNUMBER((((NºAsuntos!C13+NºAsuntos!E13)/NºAsuntos!G13)-Datos!BG13)/Datos!BG13),(((NºAsuntos!C13+NºAsuntos!E13)/NºAsuntos!G13)-Datos!BG13)/Datos!BG13," - ")</f>
        <v>0.14661070101799584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1.0506208213944603E-2</v>
      </c>
      <c r="C16" s="456">
        <f>IF(ISNUMBER(
   IF(D_I="SI",(Datos!J16-Datos!T16)/Datos!T16,(Datos!J16+Datos!AD16-(Datos!T16+Datos!AL16))/(Datos!T16+Datos!AL16))
     ),IF(D_I="SI",(Datos!J16-Datos!T16)/Datos!T16,(Datos!J16+Datos!AD16-(Datos!T16+Datos!AL16))/(Datos!T16+Datos!AL16))," - ")</f>
        <v>0.49705882352941178</v>
      </c>
      <c r="D16" s="456">
        <f>IF(ISNUMBER(
   IF(D_I="SI",(Datos!K16-Datos!U16)/Datos!U16,(Datos!K16+Datos!AE16-(Datos!U16+Datos!AM16))/(Datos!U16+Datos!AM16))
     ),IF(D_I="SI",(Datos!K16-Datos!U16)/Datos!U16,(Datos!K16+Datos!AE16-(Datos!U16+Datos!AM16))/(Datos!U16+Datos!AM16))," - ")</f>
        <v>0.21685082872928177</v>
      </c>
      <c r="E16" s="456">
        <f>IF(ISNUMBER(
   IF(D_I="SI",(Datos!L16-Datos!V16)/Datos!V16,(Datos!L16+Datos!AF16-(Datos!V16+Datos!AN16))/(Datos!V16+Datos!AN16))
     ),IF(D_I="SI",(Datos!L16-Datos!V16)/Datos!V16,(Datos!L16+Datos!AF16-(Datos!V16+Datos!AN16))/(Datos!V16+Datos!AN16))," - ")</f>
        <v>3.9643211100099107E-2</v>
      </c>
      <c r="F16" s="456">
        <f>IF(ISNUMBER((Datos!M16-Datos!W16)/Datos!W16),(Datos!M16-Datos!W16)/Datos!W16," - ")</f>
        <v>-8.8607594936708861E-2</v>
      </c>
      <c r="G16" s="457">
        <f>IF(ISNUMBER((Datos!N16-Datos!X16)/Datos!X16),(Datos!N16-Datos!X16)/Datos!X16," - ")</f>
        <v>0.42566191446028512</v>
      </c>
      <c r="H16" s="455">
        <f>IF(ISNUMBER(((NºAsuntos!G16/NºAsuntos!E16)-Datos!BD16)/Datos!BD16),((NºAsuntos!G16/NºAsuntos!E16)-Datos!BD16)/Datos!BD16," - ")</f>
        <v>-0.1871723344440947</v>
      </c>
      <c r="I16" s="456">
        <f>IF(ISNUMBER(((NºAsuntos!I16/NºAsuntos!G16)-Datos!BE16)/Datos!BE16),((NºAsuntos!I16/NºAsuntos!G16)-Datos!BE16)/Datos!BE16," - ")</f>
        <v>-0.14562805353408431</v>
      </c>
      <c r="J16" s="461">
        <f>IF(ISNUMBER((('Resol  Asuntos'!D16/NºAsuntos!G16)-Datos!BF16)/Datos!BF16),(('Resol  Asuntos'!D16/NºAsuntos!G16)-Datos!BF16)/Datos!BF16," - ")</f>
        <v>-0.25102372160519548</v>
      </c>
      <c r="K16" s="462">
        <f>IF(ISNUMBER((((NºAsuntos!C16+NºAsuntos!E16)/NºAsuntos!G16)-Datos!BG16)/Datos!BG16),(((NºAsuntos!C16+NºAsuntos!E16)/NºAsuntos!G16)-Datos!BG16)/Datos!BG16," - ")</f>
        <v>-1.2134839140919377E-2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4.833333333333333</v>
      </c>
      <c r="C17" s="456">
        <f>IF(ISNUMBER(
   IF(D_I="SI",(Datos!J17-Datos!T17)/Datos!T17,(Datos!J17+Datos!AD17-(Datos!T17+Datos!AL17))/(Datos!T17+Datos!AL17))
     ),IF(D_I="SI",(Datos!J17-Datos!T17)/Datos!T17,(Datos!J17+Datos!AD17-(Datos!T17+Datos!AL17))/(Datos!T17+Datos!AL17))," - ")</f>
        <v>-0.38333333333333336</v>
      </c>
      <c r="D17" s="456">
        <f>IF(ISNUMBER(
   IF(D_I="SI",(Datos!K17-Datos!U17)/Datos!U17,(Datos!K17+Datos!AE17-(Datos!U17+Datos!AM17))/(Datos!U17+Datos!AM17))
     ),IF(D_I="SI",(Datos!K17-Datos!U17)/Datos!U17,(Datos!K17+Datos!AE17-(Datos!U17+Datos!AM17))/(Datos!U17+Datos!AM17))," - ")</f>
        <v>-0.21428571428571427</v>
      </c>
      <c r="E17" s="456">
        <f>IF(ISNUMBER(
   IF(D_I="SI",(Datos!L17-Datos!V17)/Datos!V17,(Datos!L17+Datos!AF17-(Datos!V17+Datos!AN17))/(Datos!V17+Datos!AN17))
     ),IF(D_I="SI",(Datos!L17-Datos!V17)/Datos!V17,(Datos!L17+Datos!AF17-(Datos!V17+Datos!AN17))/(Datos!V17+Datos!AN17))," - ")</f>
        <v>1.4666666666666666</v>
      </c>
      <c r="F17" s="456">
        <f>IF(ISNUMBER((Datos!M17-Datos!W17)/Datos!W17),(Datos!M17-Datos!W17)/Datos!W17," - ")</f>
        <v>-0.8571428571428571</v>
      </c>
      <c r="G17" s="457">
        <f>IF(ISNUMBER((Datos!N17-Datos!X17)/Datos!X17),(Datos!N17-Datos!X17)/Datos!X17," - ")</f>
        <v>-0.38709677419354838</v>
      </c>
      <c r="H17" s="455">
        <f>IF(ISNUMBER(((NºAsuntos!G17/NºAsuntos!E17)-Datos!BD17)/Datos!BD17),((NºAsuntos!G17/NºAsuntos!E17)-Datos!BD17)/Datos!BD17," - ")</f>
        <v>0.27413127413127419</v>
      </c>
      <c r="I17" s="456">
        <f>IF(ISNUMBER(((NºAsuntos!I17/NºAsuntos!G17)-Datos!BE17)/Datos!BE17),((NºAsuntos!I17/NºAsuntos!G17)-Datos!BE17)/Datos!BE17," - ")</f>
        <v>2.1393939393939387</v>
      </c>
      <c r="J17" s="461">
        <f>IF(ISNUMBER((('Resol  Asuntos'!D17/NºAsuntos!G17)-Datos!BF17)/Datos!BF17),(('Resol  Asuntos'!D17/NºAsuntos!G17)-Datos!BF17)/Datos!BF17," - ")</f>
        <v>-0.81818181818181812</v>
      </c>
      <c r="K17" s="462">
        <f>IF(ISNUMBER((((NºAsuntos!C17+NºAsuntos!E17)/NºAsuntos!G17)-Datos!BG17)/Datos!BG17),(((NºAsuntos!C17+NºAsuntos!E17)/NºAsuntos!G17)-Datos!BG17)/Datos!BG17," - ")</f>
        <v>0.89141414141414144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6.5155807365439092E-2</v>
      </c>
      <c r="C18" s="855">
        <f>IF(ISNUMBER(
   IF(Criterios!B14="SI",(Datos!J18-Datos!T18)/Datos!T18,(Datos!J18+Datos!AD18-(Datos!T18+Datos!AL18))/(Datos!T18+Datos!AL18))
     ),IF(Criterios!B14="SI",(Datos!J18-Datos!T18)/Datos!T18,(Datos!J18+Datos!AD18-(Datos!T18+Datos!AL18))/(Datos!T18+Datos!AL18))," - ")</f>
        <v>0.42567567567567566</v>
      </c>
      <c r="D18" s="855">
        <f>IF(ISNUMBER(
   IF(Criterios!B14="SI",(Datos!K18-Datos!U18)/Datos!U18,(Datos!K18+Datos!AE18-(Datos!U18+Datos!AM18))/(Datos!U18+Datos!AM18))
     ),IF(Criterios!B14="SI",(Datos!K18-Datos!U18)/Datos!U18,(Datos!K18+Datos!AE18-(Datos!U18+Datos!AM18))/(Datos!U18+Datos!AM18))," - ")</f>
        <v>0.19321148825065274</v>
      </c>
      <c r="E18" s="855">
        <f>IF(ISNUMBER(
   IF(Criterios!B14="SI",(Datos!L18-Datos!V18)/Datos!V18,(Datos!L18+Datos!AF18-(Datos!V18+Datos!AN18))/(Datos!V18+Datos!AN18))
     ),IF(Criterios!B14="SI",(Datos!L18-Datos!V18)/Datos!V18,(Datos!L18+Datos!AF18-(Datos!V18+Datos!AN18))/(Datos!V18+Datos!AN18))," - ")</f>
        <v>8.0846968238691044E-2</v>
      </c>
      <c r="F18" s="856">
        <f>IF(ISNUMBER((Datos!M18-Datos!W18)/Datos!W18),(Datos!M18-Datos!W18)/Datos!W18," - ")</f>
        <v>-0.15116279069767441</v>
      </c>
      <c r="G18" s="857">
        <f>IF(ISNUMBER((Datos!N18-Datos!X18)/Datos!X18),(Datos!N18-Datos!X18)/Datos!X18," - ")</f>
        <v>0.37739463601532569</v>
      </c>
      <c r="H18" s="857">
        <f>IF(ISNUMBER(((NºAsuntos!G18/NºAsuntos!E18)-Datos!BD18)/Datos!BD18),((NºAsuntos!G18/NºAsuntos!E18)-Datos!BD18)/Datos!BD18," - ")</f>
        <v>-0.16305544899954227</v>
      </c>
      <c r="I18" s="857">
        <f>IF(ISNUMBER(((NºAsuntos!I18/NºAsuntos!G18)-Datos!BE18)/Datos!BE18),((NºAsuntos!I18/NºAsuntos!G18)-Datos!BE18)/Datos!BE18," - ")</f>
        <v>-9.416982749361337E-2</v>
      </c>
      <c r="J18" s="857">
        <f>IF(ISNUMBER((('Resol  Asuntos'!D18/NºAsuntos!G18)-Datos!BF18)/Datos!BF18),(('Resol  Asuntos'!D18/NºAsuntos!G18)-Datos!BF18)/Datos!BF18," - ")</f>
        <v>-0.28861126660220854</v>
      </c>
      <c r="K18" s="857">
        <f>IF(ISNUMBER((((NºAsuntos!C18+NºAsuntos!E18)/NºAsuntos!G18)-Datos!BG18)/Datos!BG18),(((NºAsuntos!C18+NºAsuntos!E18)/NºAsuntos!G18)-Datos!BG18)/Datos!BG18," - ")</f>
        <v>1.6962985757952083E-2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0.23836503439902873</v>
      </c>
      <c r="C19" s="802">
        <f>IF(ISNUMBER(
   IF(J_V="SI",(Datos!J19-Datos!T19)/Datos!T19,(Datos!J19+Datos!Z19-(Datos!T19+Datos!AH19))/(Datos!T19+Datos!AH19))
     ),IF(J_V="SI",(Datos!J19-Datos!T19)/Datos!T19,(Datos!J19+Datos!Z19-(Datos!T19+Datos!AH19))/(Datos!T19+Datos!AH19))," - ")</f>
        <v>0.375</v>
      </c>
      <c r="D19" s="802">
        <f>IF(ISNUMBER(
   IF(J_V="SI",(Datos!K19-Datos!U19)/Datos!U19,(Datos!K19+Datos!AA19-(Datos!U19+Datos!AI19))/(Datos!U19+Datos!AI19))
     ),IF(J_V="SI",(Datos!K19-Datos!U19)/Datos!U19,(Datos!K19+Datos!AA19-(Datos!U19+Datos!AI19))/(Datos!U19+Datos!AI19))," - ")</f>
        <v>0.18844444444444444</v>
      </c>
      <c r="E19" s="802">
        <f>IF(ISNUMBER(
   IF(J_V="SI",(Datos!L19-Datos!V19)/Datos!V19,(Datos!L19+Datos!AB19-(Datos!V19+Datos!AJ19))/(Datos!V19+Datos!AJ19))
     ),IF(J_V="SI",(Datos!L19-Datos!V19)/Datos!V19,(Datos!L19+Datos!AB19-(Datos!V19+Datos!AJ19))/(Datos!V19+Datos!AJ19))," - ")</f>
        <v>0.28977272727272729</v>
      </c>
      <c r="F19" s="803">
        <f>IF(ISNUMBER((Datos!M19-Datos!W19)/Datos!W19),(Datos!M19-Datos!W19)/Datos!W19," - ")</f>
        <v>2.2598870056497175E-2</v>
      </c>
      <c r="G19" s="804">
        <f>IF(ISNUMBER((Datos!N19-Datos!X19)/Datos!X19),(Datos!N19-Datos!X19)/Datos!X19," - ")</f>
        <v>0.34253246753246752</v>
      </c>
      <c r="H19" s="805">
        <f>IF(ISNUMBER((Tasas!B19-Datos!BD19)/Datos!BD19),(Tasas!B19-Datos!BD19)/Datos!BD19," - ")</f>
        <v>-0.13567676767676773</v>
      </c>
      <c r="I19" s="806">
        <f>IF(ISNUMBER((Tasas!C19-Datos!BE19)/Datos!BE19),(Tasas!C19-Datos!BE19)/Datos!BE19," - ")</f>
        <v>8.526127014346907E-2</v>
      </c>
      <c r="J19" s="807">
        <f>IF(ISNUMBER((Tasas!D19-Datos!BF19)/Datos!BF19),(Tasas!D19-Datos!BF19)/Datos!BF19," - ")</f>
        <v>-0.15388930441286464</v>
      </c>
      <c r="K19" s="807">
        <f>IF(ISNUMBER((Tasas!E19-Datos!BG19)/Datos!BG19),(Tasas!E19-Datos!BG19)/Datos!BG19," - ")</f>
        <v>8.1398659671537629E-2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Cc6fmQgY2ILjUZBj/PpJl8LopPY6akakatd+Su3xzpH1r7YSj+y1hYG0kshr+uKcieoQ50RboxF0N42pLrZw==" saltValue="ct/sia4xGZGiZS3dCIJYR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TORROX</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0.59830268741159831</v>
      </c>
      <c r="C12" s="443">
        <f>IF(ISNUMBER(NºAsuntos!I12/NºAsuntos!G12),NºAsuntos!I12/NºAsuntos!G12," - ")</f>
        <v>5.3711583924349879</v>
      </c>
      <c r="D12" s="444">
        <f>IF(ISNUMBER('Resol  Asuntos'!D12/NºAsuntos!G12),'Resol  Asuntos'!D12/NºAsuntos!G12," - ")</f>
        <v>0.25531914893617019</v>
      </c>
      <c r="E12" s="445">
        <f>IF(ISNUMBER((NºAsuntos!C12+NºAsuntos!E12)/NºAsuntos!G12),(NºAsuntos!C12+NºAsuntos!E12)/NºAsuntos!G12," - ")</f>
        <v>6.2364066193853427</v>
      </c>
      <c r="G12" s="463"/>
    </row>
    <row r="13" spans="1:7" ht="14.25" thickTop="1" thickBot="1">
      <c r="A13" s="848" t="str">
        <f>Datos!A13</f>
        <v>TOTAL</v>
      </c>
      <c r="B13" s="858">
        <f>IF(ISNUMBER(NºAsuntos!G13/NºAsuntos!E13),NºAsuntos!G13/NºAsuntos!E13," - ")</f>
        <v>0.59078212290502796</v>
      </c>
      <c r="C13" s="859">
        <f>IF(ISNUMBER(NºAsuntos!I13/NºAsuntos!G13),NºAsuntos!I13/NºAsuntos!G13," - ")</f>
        <v>5.3947990543735225</v>
      </c>
      <c r="D13" s="860">
        <f>IF(ISNUMBER('Resol  Asuntos'!D13/NºAsuntos!G13),'Resol  Asuntos'!D13/NºAsuntos!G13," - ")</f>
        <v>0.25531914893617019</v>
      </c>
      <c r="E13" s="861">
        <f>IF(ISNUMBER((NºAsuntos!C13+NºAsuntos!E13)/NºAsuntos!G13),(NºAsuntos!C13+NºAsuntos!E13)/NºAsuntos!G13," - ")</f>
        <v>6.2600472813238772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0.86542239685658151</v>
      </c>
      <c r="C16" s="443">
        <f>IF(ISNUMBER(NºAsuntos!I16/NºAsuntos!G16),NºAsuntos!I16/NºAsuntos!G16," - ")</f>
        <v>1.1906923950056754</v>
      </c>
      <c r="D16" s="444">
        <f>IF(ISNUMBER('Resol  Asuntos'!D16/NºAsuntos!G16),'Resol  Asuntos'!D16/NºAsuntos!G16," - ")</f>
        <v>8.1725312145289442E-2</v>
      </c>
      <c r="E16" s="445">
        <f>IF(ISNUMBER((NºAsuntos!C16+NºAsuntos!E16)/NºAsuntos!G16),(NºAsuntos!C16+NºAsuntos!E16)/NºAsuntos!G16," - ")</f>
        <v>2.3564131668558455</v>
      </c>
      <c r="G16" s="463"/>
    </row>
    <row r="17" spans="1:7" ht="13.5" thickBot="1">
      <c r="A17" s="402" t="str">
        <f>Datos!A17</f>
        <v>Jdos. Violencia contra la mujer</v>
      </c>
      <c r="B17" s="442">
        <f>IF(ISNUMBER(NºAsuntos!G17/NºAsuntos!E17),NºAsuntos!G17/NºAsuntos!E17," - ")</f>
        <v>0.89189189189189189</v>
      </c>
      <c r="C17" s="443">
        <f>IF(ISNUMBER(NºAsuntos!I17/NºAsuntos!G17),NºAsuntos!I17/NºAsuntos!G17," - ")</f>
        <v>2.2424242424242422</v>
      </c>
      <c r="D17" s="444">
        <f>IF(ISNUMBER('Resol  Asuntos'!D17/NºAsuntos!G17),'Resol  Asuntos'!D17/NºAsuntos!G17," - ")</f>
        <v>3.0303030303030304E-2</v>
      </c>
      <c r="E17" s="445">
        <f>IF(ISNUMBER((NºAsuntos!C17+NºAsuntos!E17)/NºAsuntos!G17),(NºAsuntos!C17+NºAsuntos!E17)/NºAsuntos!G17," - ")</f>
        <v>3.2424242424242422</v>
      </c>
      <c r="G17" s="463"/>
    </row>
    <row r="18" spans="1:7" ht="14.25" thickTop="1" thickBot="1">
      <c r="A18" s="848" t="str">
        <f>Datos!A18</f>
        <v>TOTAL</v>
      </c>
      <c r="B18" s="858">
        <f>IF(ISNUMBER(NºAsuntos!G18/NºAsuntos!E18),NºAsuntos!G18/NºAsuntos!E18," - ")</f>
        <v>0.86635071090047389</v>
      </c>
      <c r="C18" s="859">
        <f>IF(ISNUMBER(NºAsuntos!I18/NºAsuntos!G18),NºAsuntos!I18/NºAsuntos!G18," - ")</f>
        <v>1.2286652078774618</v>
      </c>
      <c r="D18" s="862">
        <f>IF(ISNUMBER('Resol  Asuntos'!D18/NºAsuntos!G18),'Resol  Asuntos'!D18/NºAsuntos!G18," - ")</f>
        <v>7.9868708971553612E-2</v>
      </c>
      <c r="E18" s="861">
        <f>IF(ISNUMBER((NºAsuntos!C18+NºAsuntos!E18)/NºAsuntos!G18),(NºAsuntos!C18+NºAsuntos!E18)/NºAsuntos!G18," - ")</f>
        <v>2.3884026258205688</v>
      </c>
      <c r="G18" s="463"/>
    </row>
    <row r="19" spans="1:7" ht="15.75" customHeight="1" thickTop="1" thickBot="1">
      <c r="A19" s="793" t="str">
        <f>Datos!A19</f>
        <v>TOTAL JURISDICCIONES</v>
      </c>
      <c r="B19" s="808">
        <f>IF(ISNUMBER(NºAsuntos!G19/NºAsuntos!E19),NºAsuntos!G19/NºAsuntos!E19," - ")</f>
        <v>0.75494071146245056</v>
      </c>
      <c r="C19" s="809">
        <f>IF(ISNUMBER(NºAsuntos!I19/NºAsuntos!G19),NºAsuntos!I19/NºAsuntos!G19," - ")</f>
        <v>2.5467464472700074</v>
      </c>
      <c r="D19" s="810">
        <f>IF(ISNUMBER('Resol  Asuntos'!D19/NºAsuntos!G19),'Resol  Asuntos'!D19/NºAsuntos!G19," - ")</f>
        <v>0.13537771129394166</v>
      </c>
      <c r="E19" s="811">
        <f>IF(ISNUMBER((NºAsuntos!C19+NºAsuntos!E19)/NºAsuntos!G19),(NºAsuntos!C19+NºAsuntos!E19)/NºAsuntos!G19," - ")</f>
        <v>3.6133133881824979</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0xX6yR7yylkdbOczkZa8z4K3rB0o3CLOgWbF+E5hRucjXplWZsIgLaZ/qvd5vtnQYADUeDmUobtaaqNfXsIsQ==" saltValue="lUykblChgI16VGIXeTJ55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TORROX</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10</v>
      </c>
      <c r="AB10" s="334">
        <f>IF(ISNUMBER(Datos!R10),Datos!R10," - ")</f>
        <v>0</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164</v>
      </c>
      <c r="Y12" s="334">
        <f t="shared" si="0"/>
        <v>164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108</v>
      </c>
      <c r="AJ12" s="229" t="str">
        <f>IF(ISNUMBER(Datos!BW12),Datos!BW12," - ")</f>
        <v xml:space="preserve"> - </v>
      </c>
      <c r="AK12" s="228" t="str">
        <f>IF(ISNUMBER(Datos!BX12),Datos!BX12," - ")</f>
        <v xml:space="preserve"> - </v>
      </c>
      <c r="AL12" s="243">
        <f>IF(ISNUMBER(NºAsuntos!G12/NºAsuntos!E12),NºAsuntos!G12/NºAsuntos!E12," - ")</f>
        <v>0.59830268741159831</v>
      </c>
      <c r="AM12" s="260">
        <f>IF(ISNUMBER(((NºAsuntos!I12/NºAsuntos!G12)*11)/factor_trimestre),((NºAsuntos!I12/NºAsuntos!G12)*11)/factor_trimestre," - ")</f>
        <v>16.113475177304963</v>
      </c>
      <c r="AN12" s="244">
        <f>IF(ISNUMBER('Resol  Asuntos'!D12/NºAsuntos!G12),'Resol  Asuntos'!D12/NºAsuntos!G12," - ")</f>
        <v>0.25531914893617019</v>
      </c>
      <c r="AO12" s="245">
        <f>IF(ISNUMBER((NºAsuntos!C12+NºAsuntos!E12)/NºAsuntos!G12),(NºAsuntos!C12+NºAsuntos!E12)/NºAsuntos!G12," - ")</f>
        <v>6.2364066193853427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114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164</v>
      </c>
      <c r="Y13" s="868">
        <f t="shared" si="4"/>
        <v>164</v>
      </c>
      <c r="Z13" s="868">
        <f t="shared" si="4"/>
        <v>0</v>
      </c>
      <c r="AA13" s="868">
        <f t="shared" si="4"/>
        <v>10</v>
      </c>
      <c r="AB13" s="868">
        <f t="shared" si="4"/>
        <v>1444</v>
      </c>
      <c r="AC13" s="868">
        <f t="shared" si="4"/>
        <v>10</v>
      </c>
      <c r="AD13" s="868">
        <f t="shared" si="4"/>
        <v>0</v>
      </c>
      <c r="AE13" s="872">
        <f t="shared" si="4"/>
        <v>0</v>
      </c>
      <c r="AF13" s="865">
        <f t="shared" si="4"/>
        <v>0</v>
      </c>
      <c r="AG13" s="873">
        <f t="shared" si="4"/>
        <v>0</v>
      </c>
      <c r="AH13" s="870">
        <f t="shared" si="4"/>
        <v>0</v>
      </c>
      <c r="AI13" s="865">
        <f t="shared" si="4"/>
        <v>108</v>
      </c>
      <c r="AJ13" s="867">
        <f t="shared" si="4"/>
        <v>0</v>
      </c>
      <c r="AK13" s="870">
        <f>SUBTOTAL(9,AK9:AK12)</f>
        <v>0</v>
      </c>
      <c r="AL13" s="874">
        <f>IF(ISNUMBER(NºAsuntos!G13/NºAsuntos!E13),NºAsuntos!G13/NºAsuntos!E13," - ")</f>
        <v>0.59078212290502796</v>
      </c>
      <c r="AM13" s="874">
        <f>IF(ISNUMBER(((NºAsuntos!I13/NºAsuntos!G13)*11)/factor_trimestre),((NºAsuntos!I13/NºAsuntos!G13)*11)/factor_trimestre," - ")</f>
        <v>16.184397163120568</v>
      </c>
      <c r="AN13" s="875">
        <f>IF(ISNUMBER('Resol  Asuntos'!D13/NºAsuntos!G13),'Resol  Asuntos'!D13/NºAsuntos!G13," - ")</f>
        <v>0.25531914893617019</v>
      </c>
      <c r="AO13" s="876">
        <f>IF(ISNUMBER((NºAsuntos!C13+NºAsuntos!E13)/NºAsuntos!G13),(NºAsuntos!C13+NºAsuntos!E13)/NºAsuntos!G13," - ")</f>
        <v>6.2600472813238772</v>
      </c>
      <c r="AP13" s="877" t="str">
        <f t="shared" si="2"/>
        <v xml:space="preserve"> - </v>
      </c>
      <c r="AQ13" s="877">
        <f>IF(ISNUMBER((H13-W13+K13)/(F13)),(H13-W13+K13)/(F13)," - ")</f>
        <v>0</v>
      </c>
      <c r="AR13" s="878">
        <f>IF(ISNUMBER((Datos!P13-Datos!Q13)/(Datos!R13-Datos!P13+Datos!Q13)),(Datos!P13-Datos!Q13)/(Datos!R13-Datos!P13+Datos!Q13)," - ")</f>
        <v>-3.3467202141900937E-2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912</v>
      </c>
      <c r="G16" s="333">
        <f>IF(ISNUMBER(IF(D_I="SI",Datos!I16,Datos!I16+Datos!AC16)),IF(D_I="SI",Datos!I16,Datos!I16+Datos!AC16)," - ")</f>
        <v>1058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881</v>
      </c>
      <c r="X16" s="226">
        <f>IF(ISNUMBER(Datos!Q16),Datos!Q16," - ")</f>
        <v>5</v>
      </c>
      <c r="Y16" s="334">
        <f t="shared" ref="Y16:Y17" si="7">SUM(W16:X16)</f>
        <v>886</v>
      </c>
      <c r="Z16" s="335" t="str">
        <f>IF(ISNUMBER(Datos!CC16),Datos!CC16," - ")</f>
        <v xml:space="preserve"> - </v>
      </c>
      <c r="AA16" s="332">
        <f>IF(ISNUMBER(IF(D_I="SI",Datos!L16,Datos!L16+Datos!AF16)),IF(D_I="SI",Datos!L16,Datos!L16+Datos!AF16)," - ")</f>
        <v>1049</v>
      </c>
      <c r="AB16" s="334">
        <f>IF(ISNUMBER(Datos!R16),Datos!R16," - ")</f>
        <v>65</v>
      </c>
      <c r="AC16" s="334">
        <f t="shared" si="6"/>
        <v>1114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72</v>
      </c>
      <c r="AJ16" s="231" t="str">
        <f>IF(ISNUMBER(Datos!BW16),Datos!BW16," - ")</f>
        <v xml:space="preserve"> - </v>
      </c>
      <c r="AK16" s="232" t="str">
        <f>IF(ISNUMBER(Datos!BX16),Datos!BX16," - ")</f>
        <v xml:space="preserve"> - </v>
      </c>
      <c r="AL16" s="243">
        <f>IF(ISNUMBER(NºAsuntos!G16/NºAsuntos!E16),NºAsuntos!G16/NºAsuntos!E16," - ")</f>
        <v>0.86542239685658151</v>
      </c>
      <c r="AM16" s="260">
        <f>IF(ISNUMBER(((NºAsuntos!I16/NºAsuntos!G16)*11)/factor_trimestre),((NºAsuntos!I16/NºAsuntos!G16)*11)/factor_trimestre," - ")</f>
        <v>3.5720771850170263</v>
      </c>
      <c r="AN16" s="244">
        <f>IF(ISNUMBER('Resol  Asuntos'!D16/NºAsuntos!G16),'Resol  Asuntos'!D16/NºAsuntos!G16," - ")</f>
        <v>8.1725312145289442E-2</v>
      </c>
      <c r="AO16" s="245">
        <f>IF(ISNUMBER((NºAsuntos!C16+NºAsuntos!E16)/NºAsuntos!G16),(NºAsuntos!C16+NºAsuntos!E16)/NºAsuntos!G16," - ")</f>
        <v>2.3564131668558455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v>
      </c>
      <c r="X17" s="226">
        <f>IF(ISNUMBER(Datos!Q17),Datos!Q17," - ")</f>
        <v>0</v>
      </c>
      <c r="Y17" s="334">
        <f t="shared" si="7"/>
        <v>33</v>
      </c>
      <c r="Z17" s="335" t="str">
        <f>IF(ISNUMBER(Datos!CC17),Datos!CC17," - ")</f>
        <v xml:space="preserve"> - </v>
      </c>
      <c r="AA17" s="332">
        <f>IF(ISNUMBER(Datos!L17),Datos!L17,"-")</f>
        <v>74</v>
      </c>
      <c r="AB17" s="334">
        <f>IF(ISNUMBER(Datos!R17),Datos!R17," - ")</f>
        <v>0</v>
      </c>
      <c r="AC17" s="334">
        <f t="shared" si="6"/>
        <v>74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0.89189189189189189</v>
      </c>
      <c r="AM17" s="260">
        <f>IF(ISNUMBER(((NºAsuntos!I17/NºAsuntos!G17)*11)/factor_trimestre),((NºAsuntos!I17/NºAsuntos!G17)*11)/factor_trimestre," - ")</f>
        <v>6.7272727272727266</v>
      </c>
      <c r="AN17" s="244">
        <f>IF(ISNUMBER('Resol  Asuntos'!D17/NºAsuntos!G17),'Resol  Asuntos'!D17/NºAsuntos!G17," - ")</f>
        <v>3.0303030303030304E-2</v>
      </c>
      <c r="AO17" s="245">
        <f>IF(ISNUMBER((NºAsuntos!C17+NºAsuntos!E17)/NºAsuntos!G17),(NºAsuntos!C17+NºAsuntos!E17)/NºAsuntos!G17," - ")</f>
        <v>3.2424242424242422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912</v>
      </c>
      <c r="G18" s="866">
        <f>SUBTOTAL(9,G15:G17)</f>
        <v>1128</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914</v>
      </c>
      <c r="X18" s="867">
        <f t="shared" si="11"/>
        <v>5</v>
      </c>
      <c r="Y18" s="868">
        <f t="shared" si="11"/>
        <v>919</v>
      </c>
      <c r="Z18" s="868">
        <f t="shared" si="11"/>
        <v>0</v>
      </c>
      <c r="AA18" s="868">
        <f t="shared" si="11"/>
        <v>1123</v>
      </c>
      <c r="AB18" s="868">
        <f t="shared" si="11"/>
        <v>65</v>
      </c>
      <c r="AC18" s="868">
        <f t="shared" si="11"/>
        <v>1188</v>
      </c>
      <c r="AD18" s="868">
        <f t="shared" si="11"/>
        <v>0</v>
      </c>
      <c r="AE18" s="872">
        <f t="shared" si="11"/>
        <v>0</v>
      </c>
      <c r="AF18" s="865">
        <f t="shared" si="11"/>
        <v>0</v>
      </c>
      <c r="AG18" s="873">
        <f t="shared" si="11"/>
        <v>0</v>
      </c>
      <c r="AH18" s="870">
        <f t="shared" si="11"/>
        <v>0</v>
      </c>
      <c r="AI18" s="865">
        <f t="shared" si="11"/>
        <v>73</v>
      </c>
      <c r="AJ18" s="867">
        <f t="shared" si="11"/>
        <v>0</v>
      </c>
      <c r="AK18" s="870">
        <f t="shared" si="11"/>
        <v>0</v>
      </c>
      <c r="AL18" s="874">
        <f>IF(ISNUMBER(NºAsuntos!G18/NºAsuntos!E18),NºAsuntos!G18/NºAsuntos!E18," - ")</f>
        <v>0.86635071090047389</v>
      </c>
      <c r="AM18" s="874">
        <f>IF(ISNUMBER(((NºAsuntos!I18/NºAsuntos!G18)*11)/factor_trimestre),((NºAsuntos!I18/NºAsuntos!G18)*11)/factor_trimestre," - ")</f>
        <v>3.6859956236323854</v>
      </c>
      <c r="AN18" s="875">
        <f>IF(ISNUMBER('Resol  Asuntos'!D18/NºAsuntos!G18),'Resol  Asuntos'!D18/NºAsuntos!G18," - ")</f>
        <v>7.9868708971553612E-2</v>
      </c>
      <c r="AO18" s="876">
        <f>IF(ISNUMBER((NºAsuntos!C18+NºAsuntos!E18)/NºAsuntos!G18),(NºAsuntos!C18+NºAsuntos!E18)/NºAsuntos!G18," - ")</f>
        <v>2.3884026258205688</v>
      </c>
      <c r="AP18" s="877" t="str">
        <f t="shared" si="2"/>
        <v xml:space="preserve"> - </v>
      </c>
      <c r="AQ18" s="877">
        <f>IF(ISNUMBER((H18-W18+K18)/(F18)),(H18-W18+K18)/(F18)," - ")</f>
        <v>-1.0021929824561404</v>
      </c>
      <c r="AR18" s="878">
        <f>IF(ISNUMBER((Datos!P18-Datos!Q18)/(Datos!R18-Datos!P18+Datos!Q18)),(Datos!P18-Datos!Q18)/(Datos!R18-Datos!P18+Datos!Q18)," - ")</f>
        <v>0.14035087719298245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913</v>
      </c>
      <c r="G19" s="821">
        <f t="shared" si="13"/>
        <v>1129</v>
      </c>
      <c r="H19" s="820">
        <f t="shared" si="13"/>
        <v>0</v>
      </c>
      <c r="I19" s="822">
        <f t="shared" si="13"/>
        <v>0</v>
      </c>
      <c r="J19" s="822">
        <f t="shared" si="13"/>
        <v>0</v>
      </c>
      <c r="K19" s="881">
        <f t="shared" si="13"/>
        <v>0</v>
      </c>
      <c r="L19" s="822">
        <f t="shared" si="13"/>
        <v>127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914</v>
      </c>
      <c r="X19" s="821">
        <f t="shared" si="14"/>
        <v>169</v>
      </c>
      <c r="Y19" s="828">
        <f t="shared" si="14"/>
        <v>1083</v>
      </c>
      <c r="Z19" s="828">
        <f t="shared" si="14"/>
        <v>0</v>
      </c>
      <c r="AA19" s="828">
        <f t="shared" si="14"/>
        <v>1133</v>
      </c>
      <c r="AB19" s="828">
        <f t="shared" si="14"/>
        <v>1509</v>
      </c>
      <c r="AC19" s="828">
        <f t="shared" si="14"/>
        <v>1198</v>
      </c>
      <c r="AD19" s="828">
        <f t="shared" si="14"/>
        <v>0</v>
      </c>
      <c r="AE19" s="830">
        <f t="shared" si="14"/>
        <v>0</v>
      </c>
      <c r="AF19" s="831">
        <f t="shared" si="14"/>
        <v>0</v>
      </c>
      <c r="AG19" s="832">
        <f t="shared" si="14"/>
        <v>0</v>
      </c>
      <c r="AH19" s="830">
        <f t="shared" si="14"/>
        <v>0</v>
      </c>
      <c r="AI19" s="820">
        <f t="shared" si="14"/>
        <v>181</v>
      </c>
      <c r="AJ19" s="820">
        <f t="shared" si="14"/>
        <v>0</v>
      </c>
      <c r="AK19" s="830">
        <f t="shared" si="14"/>
        <v>0</v>
      </c>
      <c r="AL19" s="884">
        <f>IF(ISNUMBER(NºAsuntos!G19/NºAsuntos!E19),NºAsuntos!G19/NºAsuntos!E19," - ")</f>
        <v>0.75494071146245056</v>
      </c>
      <c r="AM19" s="885">
        <f>IF(ISNUMBER(((NºAsuntos!I19/NºAsuntos!G19)*11)/factor_trimestre),((NºAsuntos!I19/NºAsuntos!G19)*11)/factor_trimestre," - ")</f>
        <v>7.6402393418100232</v>
      </c>
      <c r="AN19" s="885">
        <f>IF(ISNUMBER('Resol  Asuntos'!D19/NºAsuntos!G19),'Resol  Asuntos'!D19/NºAsuntos!G19," - ")</f>
        <v>0.13537771129394166</v>
      </c>
      <c r="AO19" s="886">
        <f>IF(ISNUMBER((NºAsuntos!C19+NºAsuntos!E19)/NºAsuntos!G19),(NºAsuntos!C19+NºAsuntos!E19)/NºAsuntos!G19," - ")</f>
        <v>3.6133133881824979</v>
      </c>
      <c r="AP19" s="887" t="str">
        <f t="shared" si="2"/>
        <v xml:space="preserve"> - </v>
      </c>
      <c r="AQ19" s="888">
        <f>IF(OR(ISNUMBER(FIND("01",Criterios!A8,1)),ISNUMBER(FIND("02",Criterios!A8,1)),ISNUMBER(FIND("03",Criterios!A8,1)),ISNUMBER(FIND("04",Criterios!A8,1))),(I19-W19+K19)/(F19-K19),(H19-W19+K19)/(F19-K19))</f>
        <v>-1.0010952902519168</v>
      </c>
      <c r="AR19" s="889">
        <f>IF(ISNUMBER((Datos!P19-Datos!Q19)/(Datos!R19-Datos!P19+Datos!Q19)),(Datos!P19-Datos!Q19)/(Datos!R19-Datos!P19+Datos!Q19)," - ")</f>
        <v>-2.7079303675048357E-2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525.96609523174902</v>
      </c>
      <c r="G21" s="253">
        <f>IF(ISNUMBER(STDEV(G8:G18)),STDEV(G8:G18),"-")</f>
        <v>586.71483703755098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485.88301061057894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48.992516435335986</v>
      </c>
      <c r="AJ21" s="252">
        <f t="shared" si="18"/>
        <v>0</v>
      </c>
      <c r="AK21" s="254">
        <f t="shared" si="18"/>
        <v>0</v>
      </c>
      <c r="AL21" s="249">
        <f t="shared" si="18"/>
        <v>0.3403341680438815</v>
      </c>
      <c r="AM21" s="250">
        <f t="shared" si="18"/>
        <v>6.4178275125936972</v>
      </c>
      <c r="AN21" s="250">
        <f t="shared" si="18"/>
        <v>0.1068186116619291</v>
      </c>
      <c r="AO21" s="251">
        <f t="shared" si="18"/>
        <v>1.9959384459043035</v>
      </c>
      <c r="AP21" s="291" t="str">
        <f t="shared" si="18"/>
        <v>-</v>
      </c>
      <c r="AQ21" s="292">
        <f t="shared" si="18"/>
        <v>0.70865745395230761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DgSV7yUT1fK5gcjR70i1uQFQ8ULfcu8ztxs2Eu+mGVseL9K4K2r3yyJHjcWRZOiBUXgOEqskTxUqrkskFLWfmQ==" saltValue="Jt5OeLFL9aPQFhjhJZOdO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TORROX</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-0.83333333333333337</v>
      </c>
      <c r="E10" s="348">
        <f>IF(ISNUMBER((Datos!J10-Datos!T10)/Datos!T10),(Datos!J10-Datos!T10)/Datos!T10," - ")</f>
        <v>0.5</v>
      </c>
      <c r="F10" s="348">
        <f>IF(ISNUMBER((Datos!K10-Datos!U10)/Datos!U10),(Datos!K10-Datos!U10)/Datos!U10," - ")</f>
        <v>-1</v>
      </c>
      <c r="G10" s="349">
        <f>IF(ISNUMBER((Datos!L10-Datos!V10)/Datos!V10),(Datos!L10-Datos!V10)/Datos!V10," - ")</f>
        <v>0.42857142857142855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0.18681318681318682</v>
      </c>
      <c r="I12" s="350">
        <f>IF(ISNUMBER((Tasas!C12-Datos!BE12)/Datos!BE12),(Tasas!C12-Datos!BE12)/Datos!BE12," - ")</f>
        <v>0.19284195164490944</v>
      </c>
      <c r="J12" s="349">
        <f>IF(ISNUMBER((Tasas!D12-Datos!BF12)/Datos!BF12),(Tasas!D12-Datos!BF12)/Datos!BF12," - ")</f>
        <v>-3.8478949751018621E-2</v>
      </c>
      <c r="K12" s="351">
        <f>IF(ISNUMBER((Tasas!E12-Datos!BG12)/Datos!BG12),(Tasas!E12-Datos!BG12)/Datos!BG12," - ")</f>
        <v>0.13331003247557047</v>
      </c>
      <c r="M12" t="e">
        <f>IF(Monitorios="SI",Datos!CE12,0)</f>
        <v>#REF!</v>
      </c>
      <c r="N12" t="e">
        <f>IF(Monitorios="SI",Datos!CF12,0)</f>
        <v>#REF!</v>
      </c>
      <c r="O12" t="e">
        <f>IF(Monitorios="SI",Datos!CG12,0)</f>
        <v>#REF!</v>
      </c>
      <c r="P12" t="e">
        <f>IF(Monitorios="SI",Datos!CH12,0)</f>
        <v>#REF!</v>
      </c>
      <c r="Q12">
        <f>IF(J_V="SI",0,Datos!AG12)</f>
        <v>47</v>
      </c>
      <c r="R12">
        <f>IF(J_V="SI",0,Datos!AH12)</f>
        <v>24</v>
      </c>
      <c r="S12">
        <f>IF(J_V="SI",0,Datos!AI12)</f>
        <v>23</v>
      </c>
      <c r="T12">
        <f>IF(J_V="SI",0,Datos!AJ12)</f>
        <v>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0.18681318681318682</v>
      </c>
      <c r="I13" s="357">
        <f>IF(ISNUMBER((Tasas!C13-Datos!BE13)/Datos!BE13),(Tasas!C13-Datos!BE13)/Datos!BE13," - ")</f>
        <v>0.20970197409125202</v>
      </c>
      <c r="J13" s="355">
        <f>IF(ISNUMBER((Tasas!D13-Datos!BF13)/Datos!BF13),(Tasas!D13-Datos!BF13)/Datos!BF13," - ")</f>
        <v>-2.4898143956541451E-2</v>
      </c>
      <c r="K13" s="358">
        <f>IF(ISNUMBER((Tasas!E13-Datos!BG13)/Datos!BG13),(Tasas!E13-Datos!BG13)/Datos!BG13," - ")</f>
        <v>0.14661070101799584</v>
      </c>
      <c r="M13" t="e">
        <f>IF(Monitorios="SI",Datos!CE13,0)</f>
        <v>#REF!</v>
      </c>
      <c r="N13" t="e">
        <f>IF(Monitorios="SI",Datos!CF13,0)</f>
        <v>#REF!</v>
      </c>
      <c r="O13" t="e">
        <f>IF(Monitorios="SI",Datos!CG13,0)</f>
        <v>#REF!</v>
      </c>
      <c r="P13" t="e">
        <f>IF(Monitorios="SI",Datos!CH13,0)</f>
        <v>#REF!</v>
      </c>
      <c r="Q13">
        <f>IF(J_V="SI",0,Datos!AG13)</f>
        <v>47</v>
      </c>
      <c r="R13">
        <f>IF(J_V="SI",0,Datos!AH13)</f>
        <v>24</v>
      </c>
      <c r="S13">
        <f>IF(J_V="SI",0,Datos!AI13)</f>
        <v>23</v>
      </c>
      <c r="T13">
        <f>IF(J_V="SI",0,Datos!AJ13)</f>
        <v>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1.0506208213944603E-2</v>
      </c>
      <c r="E16" s="348">
        <f>IF(ISNUMBER(
   IF(D_I="SI",(Datos!J16-Datos!T16)/Datos!T16,(Datos!J16+Datos!AD16-(Datos!T16+Datos!AL16))/(Datos!T16+Datos!AL16))
     ),IF(D_I="SI",(Datos!J16-Datos!T16)/Datos!T16,(Datos!J16+Datos!AD16-(Datos!T16+Datos!AL16))/(Datos!T16+Datos!AL16))," - ")</f>
        <v>0.49705882352941178</v>
      </c>
      <c r="F16" s="348">
        <f>IF(ISNUMBER(
   IF(D_I="SI",(Datos!K16-Datos!U16)/Datos!U16,(Datos!K16+Datos!AE16-(Datos!U16+Datos!AM16))/(Datos!U16+Datos!AM16))
     ),IF(D_I="SI",(Datos!K16-Datos!U16)/Datos!U16,(Datos!K16+Datos!AE16-(Datos!U16+Datos!AM16))/(Datos!U16+Datos!AM16))," - ")</f>
        <v>0.21685082872928177</v>
      </c>
      <c r="G16" s="349">
        <f>IF(ISNUMBER(
   IF(D_I="SI",(Datos!L16-Datos!V16)/Datos!V16,(Datos!L16+Datos!AF16-(Datos!V16+Datos!AN16))/(Datos!V16+Datos!AN16))
     ),IF(D_I="SI",(Datos!L16-Datos!V16)/Datos!V16,(Datos!L16+Datos!AF16-(Datos!V16+Datos!AN16))/(Datos!V16+Datos!AN16))," - ")</f>
        <v>3.9643211100099107E-2</v>
      </c>
      <c r="H16" s="230">
        <f>IF(ISNUMBER((Datos!M16-Datos!W16)/Datos!W16),(Datos!M16-Datos!W16)/Datos!W16," - ")</f>
        <v>-8.8607594936708861E-2</v>
      </c>
      <c r="I16" s="350">
        <f>IF(ISNUMBER((Tasas!C16-Datos!BE16)/Datos!BE16),(Tasas!C16-Datos!BE16)/Datos!BE16," - ")</f>
        <v>-0.14562805353408431</v>
      </c>
      <c r="J16" s="349">
        <f>IF(ISNUMBER((Tasas!D16-Datos!BF16)/Datos!BF16),(Tasas!D16-Datos!BF16)/Datos!BF16," - ")</f>
        <v>-0.25102372160519548</v>
      </c>
      <c r="K16" s="351">
        <f>IF(ISNUMBER((Tasas!E16-Datos!BG16)/Datos!BG16),(Tasas!E16-Datos!BG16)/Datos!BG16," - ")</f>
        <v>-1.2134839140919377E-2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4.833333333333333</v>
      </c>
      <c r="E17" s="348">
        <f>IF(ISNUMBER(
   IF(D_I="SI",(Datos!J17-Datos!T17)/Datos!T17,(Datos!J17+Datos!AD17-(Datos!T17+Datos!AL17))/(Datos!T17+Datos!AL17))
     ),IF(D_I="SI",(Datos!J17-Datos!T17)/Datos!T17,(Datos!J17+Datos!AD17-(Datos!T17+Datos!AL17))/(Datos!T17+Datos!AL17))," - ")</f>
        <v>-0.38333333333333336</v>
      </c>
      <c r="F17" s="348">
        <f>IF(ISNUMBER(
   IF(D_I="SI",(Datos!K17-Datos!U17)/Datos!U17,(Datos!K17+Datos!AE17-(Datos!U17+Datos!AM17))/(Datos!U17+Datos!AM17))
     ),IF(D_I="SI",(Datos!K17-Datos!U17)/Datos!U17,(Datos!K17+Datos!AE17-(Datos!U17+Datos!AM17))/(Datos!U17+Datos!AM17))," - ")</f>
        <v>-0.21428571428571427</v>
      </c>
      <c r="G17" s="349">
        <f>IF(ISNUMBER(
   IF(D_I="SI",(Datos!L17-Datos!V17)/Datos!V17,(Datos!L17+Datos!AF17-(Datos!V17+Datos!AN17))/(Datos!V17+Datos!AN17))
     ),IF(D_I="SI",(Datos!L17-Datos!V17)/Datos!V17,(Datos!L17+Datos!AF17-(Datos!V17+Datos!AN17))/(Datos!V17+Datos!AN17))," - ")</f>
        <v>1.4666666666666666</v>
      </c>
      <c r="H17" s="230">
        <f>IF(ISNUMBER((Datos!M17-Datos!W17)/Datos!W17),(Datos!M17-Datos!W17)/Datos!W17," - ")</f>
        <v>-0.8571428571428571</v>
      </c>
      <c r="I17" s="350">
        <f>IF(ISNUMBER((Tasas!C17-Datos!BE17)/Datos!BE17),(Tasas!C17-Datos!BE17)/Datos!BE17," - ")</f>
        <v>2.1393939393939387</v>
      </c>
      <c r="J17" s="349">
        <f>IF(ISNUMBER((Tasas!D17-Datos!BF17)/Datos!BF17),(Tasas!D17-Datos!BF17)/Datos!BF17," - ")</f>
        <v>-0.81818181818181812</v>
      </c>
      <c r="K17" s="351">
        <f>IF(ISNUMBER((Tasas!E17-Datos!BG17)/Datos!BG17),(Tasas!E17-Datos!BG17)/Datos!BG17," - ")</f>
        <v>0.89141414141414144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6.5155807365439092E-2</v>
      </c>
      <c r="E18" s="354">
        <f>IF(ISNUMBER(
   IF(D_I="SI",(Datos!J18-Datos!T18)/Datos!T18,(Datos!J18+Datos!AD18-(Datos!T18+Datos!AL18))/(Datos!T18+Datos!AL18))
     ),IF(D_I="SI",(Datos!J18-Datos!T18)/Datos!T18,(Datos!J18+Datos!AD18-(Datos!T18+Datos!AL18))/(Datos!T18+Datos!AL18))," - ")</f>
        <v>0.42567567567567566</v>
      </c>
      <c r="F18" s="354">
        <f>IF(ISNUMBER(
   IF(D_I="SI",(Datos!K18-Datos!U18)/Datos!U18,(Datos!K18+Datos!AE18-(Datos!U18+Datos!AM18))/(Datos!U18+Datos!AM18))
     ),IF(D_I="SI",(Datos!K18-Datos!U18)/Datos!U18,(Datos!K18+Datos!AE18-(Datos!U18+Datos!AM18))/(Datos!U18+Datos!AM18))," - ")</f>
        <v>0.19321148825065274</v>
      </c>
      <c r="G18" s="355">
        <f>IF(ISNUMBER(
   IF(D_I="SI",(Datos!L18-Datos!V18)/Datos!V18,(Datos!L18+Datos!AF18-(Datos!V18+Datos!AN18))/(Datos!V18+Datos!AN18))
     ),IF(D_I="SI",(Datos!L18-Datos!V18)/Datos!V18,(Datos!L18+Datos!AF18-(Datos!V18+Datos!AN18))/(Datos!V18+Datos!AN18))," - ")</f>
        <v>8.0846968238691044E-2</v>
      </c>
      <c r="H18" s="356">
        <f>IF(ISNUMBER((Datos!M18-Datos!W18)/Datos!W18),(Datos!M18-Datos!W18)/Datos!W18," - ")</f>
        <v>-0.15116279069767441</v>
      </c>
      <c r="I18" s="357">
        <f>IF(ISNUMBER((Tasas!C18-Datos!BE18)/Datos!BE18),(Tasas!C18-Datos!BE18)/Datos!BE18," - ")</f>
        <v>-9.416982749361337E-2</v>
      </c>
      <c r="J18" s="355">
        <f>IF(ISNUMBER((Tasas!D18-Datos!BF18)/Datos!BF18),(Tasas!D18-Datos!BF18)/Datos!BF18," - ")</f>
        <v>-0.28861126660220854</v>
      </c>
      <c r="K18" s="358">
        <f>IF(ISNUMBER((Tasas!E18-Datos!BG18)/Datos!BG18),(Tasas!E18-Datos!BG18)/Datos!BG18," - ")</f>
        <v>1.6962985757952083E-2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0.23836503439902873</v>
      </c>
      <c r="E19" s="363">
        <f>IF(ISNUMBER(
   IF(J_V="SI",(Datos!J19-Datos!T19)/Datos!T19,(Datos!J19+Datos!Z19-(Datos!T19+Datos!AH19))/(Datos!T19+Datos!AH19))
     ),IF(J_V="SI",(Datos!J19-Datos!T19)/Datos!T19,(Datos!J19+Datos!Z19-(Datos!T19+Datos!AH19))/(Datos!T19+Datos!AH19))," - ")</f>
        <v>0.375</v>
      </c>
      <c r="F19" s="363">
        <f>IF(ISNUMBER(
   IF(J_V="SI",(Datos!K19-Datos!U19)/Datos!U19,(Datos!K19+Datos!AA19-(Datos!U19+Datos!AI19))/(Datos!U19+Datos!AI19))
     ),IF(J_V="SI",(Datos!K19-Datos!U19)/Datos!U19,(Datos!K19+Datos!AA19-(Datos!U19+Datos!AI19))/(Datos!U19+Datos!AI19))," - ")</f>
        <v>0.18844444444444444</v>
      </c>
      <c r="G19" s="364">
        <f>IF(ISNUMBER(
   IF(J_V="SI",(Datos!L19-Datos!V19)/Datos!V19,(Datos!L19+Datos!AB19-(Datos!V19+Datos!AJ19))/(Datos!V19+Datos!AJ19))
     ),IF(J_V="SI",(Datos!L19-Datos!V19)/Datos!V19,(Datos!L19+Datos!AB19-(Datos!V19+Datos!AJ19))/(Datos!V19+Datos!AJ19))," - ")</f>
        <v>0.28977272727272729</v>
      </c>
      <c r="H19" s="365">
        <f>IF(ISNUMBER((Datos!M19-Datos!W19)/Datos!W19),(Datos!M19-Datos!W19)/Datos!W19," - ")</f>
        <v>2.2598870056497175E-2</v>
      </c>
      <c r="I19" s="362">
        <f>IF(ISNUMBER((Tasas!C19-Datos!BE19)/Datos!BE19),(Tasas!C19-Datos!BE19)/Datos!BE19," - ")</f>
        <v>8.526127014346907E-2</v>
      </c>
      <c r="J19" s="363">
        <f>IF(ISNUMBER((Tasas!D19-Datos!BF19)/Datos!BF19),(Tasas!D19-Datos!BF19)/Datos!BF19," - ")</f>
        <v>-0.15388930441286464</v>
      </c>
      <c r="K19" s="364">
        <f>IF(ISNUMBER((Tasas!E19-Datos!BG19)/Datos!BG19),(Tasas!E19-Datos!BG19)/Datos!BG19," - ")</f>
        <v>8.1398659671537629E-2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2.5759888715398129</v>
      </c>
      <c r="E21" s="278">
        <f t="shared" si="1"/>
        <v>0.4301639235806663</v>
      </c>
      <c r="F21" s="278">
        <f t="shared" si="1"/>
        <v>0.56820756485226842</v>
      </c>
      <c r="G21" s="279">
        <f t="shared" si="1"/>
        <v>0.66510707852856388</v>
      </c>
      <c r="H21" s="285">
        <f t="shared" si="1"/>
        <v>0.42736545462881703</v>
      </c>
      <c r="I21" s="277">
        <f t="shared" si="1"/>
        <v>0.95240158930899566</v>
      </c>
      <c r="J21" s="278">
        <f t="shared" si="1"/>
        <v>0.32166480473993458</v>
      </c>
      <c r="K21" s="279">
        <f t="shared" si="1"/>
        <v>0.373379344799326</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SnAS3zpaW0ACoXfMIxQZXG+He2T10LUVKqkDemcpbqnI7z8XoMdHUjhKJFHQVNbvadLUaBqFKl7nyb3Hvp7fw==" saltValue="AjHVl2tO13c0KwgfLmd4C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v>
      </c>
      <c r="D10" s="225">
        <f>IF(ISNUMBER(Datos!I10),Datos!I10," - ")</f>
        <v>1</v>
      </c>
      <c r="E10" s="226">
        <f>IF(ISNUMBER(Datos!J10),Datos!J10," - ")</f>
        <v>9</v>
      </c>
      <c r="F10" s="226">
        <f>IF(ISNUMBER(Datos!K10),Datos!K10," - ")</f>
        <v>0</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9</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59.082742316784866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v>
      </c>
      <c r="D13" s="1049">
        <f>SUBTOTAL(9,D9:D12)</f>
        <v>1</v>
      </c>
      <c r="E13" s="1050">
        <f>SUBTOTAL(9,E9:E12)</f>
        <v>9</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912</v>
      </c>
      <c r="D16" s="225">
        <f>IF(ISNUMBER(IF(D_I="SI",Datos!I16,Datos!I16+Datos!AC16)),IF(D_I="SI",Datos!I16,Datos!I16+Datos!AC16)," - ")</f>
        <v>1058</v>
      </c>
      <c r="E16" s="226">
        <f>IF(ISNUMBER(IF(D_I="SI",Datos!J16,Datos!J16+Datos!AD16)),IF(D_I="SI",Datos!J16,Datos!J16+Datos!AD16)," - ")</f>
        <v>1018</v>
      </c>
      <c r="F16" s="226">
        <f>IF(ISNUMBER(IF(D_I="SI",Datos!K16,Datos!K16+Datos!AE16)),IF(D_I="SI",Datos!K16,Datos!K16+Datos!AE16)," - ")</f>
        <v>881</v>
      </c>
      <c r="G16" s="1034" t="str">
        <f>IF(Datos!E16&lt;&gt;"",Datos!E16,Datos!D16)</f>
        <v>04</v>
      </c>
      <c r="H16" s="227">
        <f>IF(ISNUMBER(IF(D_I="SI",Datos!L16,Datos!L16+Datos!AF16)),IF(D_I="SI",Datos!L16,Datos!L16+Datos!AF16)," - ")</f>
        <v>1049</v>
      </c>
      <c r="I16" s="1044" t="str">
        <f>IF(ISNUMBER(Datos!AS16/Datos!BM16),Datos!AS16/Datos!BM16," - ")</f>
        <v xml:space="preserve"> - </v>
      </c>
      <c r="J16" s="1045">
        <f>IF(ISNUMBER(Datos!BY16/Datos!CN16),Datos!BY16/Datos!CN16," - ")</f>
        <v>0</v>
      </c>
      <c r="K16" s="230">
        <f t="shared" si="3"/>
        <v>0.15021929824561403</v>
      </c>
      <c r="L16" s="1025">
        <f>IF(ISNUMBER(NºAsuntos!I16/NºAsuntos!G16),(NºAsuntos!I16/NºAsuntos!G16)*11," - ")</f>
        <v>13.097616345062429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70</v>
      </c>
      <c r="D17" s="225">
        <f>IF(ISNUMBER(IF(D_I="SI",Datos!I17,Datos!I17+Datos!AC17)),IF(D_I="SI",Datos!I17,Datos!I17+Datos!AC17)," - ")</f>
        <v>70</v>
      </c>
      <c r="E17" s="226">
        <f>IF(ISNUMBER(IF(D_I="SI",Datos!J17,Datos!J17+Datos!AD17)),IF(D_I="SI",Datos!J17,Datos!J17+Datos!AD17)," - ")</f>
        <v>37</v>
      </c>
      <c r="F17" s="226">
        <f>IF(ISNUMBER(IF(D_I="SI",Datos!K17,Datos!K17+Datos!AE17)),IF(D_I="SI",Datos!K17,Datos!K17+Datos!AE17)," - ")</f>
        <v>33</v>
      </c>
      <c r="G17" s="1034" t="str">
        <f>IF(Datos!E17&lt;&gt;"",Datos!E17,Datos!D17)</f>
        <v>37</v>
      </c>
      <c r="H17" s="227">
        <f>IF(ISNUMBER(IF(D_I="SI",Datos!L17,Datos!L17+Datos!AF17)),IF(D_I="SI",Datos!L17,Datos!L17+Datos!AF17)," - ")</f>
        <v>74</v>
      </c>
      <c r="I17" s="1044" t="str">
        <f>IF(ISNUMBER(Datos!AS17/Datos!BM17),Datos!AS17/Datos!BM17," - ")</f>
        <v xml:space="preserve"> - </v>
      </c>
      <c r="J17" s="1045" t="str">
        <f>IF(ISNUMBER((Datos!BY17+Datos!BZ17)/Datos!CN17),(Datos!BY17+Datos!BZ17)/Datos!CN17," - ")</f>
        <v xml:space="preserve"> - </v>
      </c>
      <c r="K17" s="230">
        <f t="shared" si="3"/>
        <v>5.7142857142857141E-2</v>
      </c>
      <c r="L17" s="1025">
        <f>IF(ISNUMBER(NºAsuntos!I17/NºAsuntos!G17),(NºAsuntos!I17/NºAsuntos!G17)*11," - ")</f>
        <v>24.666666666666664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982</v>
      </c>
      <c r="D18" s="1049">
        <f>SUBTOTAL(9,D15:D17)</f>
        <v>1128</v>
      </c>
      <c r="E18" s="1050">
        <f>SUBTOTAL(9,E15:E17)</f>
        <v>1055</v>
      </c>
      <c r="F18" s="1050">
        <f>SUBTOTAL(9,F15:F17)</f>
        <v>914</v>
      </c>
      <c r="G18" s="1052" t="str">
        <f ca="1">INDIRECT(CONCATENATE("G",ROW()-1))</f>
        <v>37</v>
      </c>
      <c r="H18" s="1053">
        <f ca="1">SUMIF(G$14:G17,G18,H$14:H17)</f>
        <v>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983</v>
      </c>
      <c r="D19" s="1071">
        <f>SUBTOTAL(9,D9:D18)</f>
        <v>1129</v>
      </c>
      <c r="E19" s="1072">
        <f>SUBTOTAL(9,E9:E18)</f>
        <v>1064</v>
      </c>
      <c r="F19" s="1072">
        <f>SUBTOTAL(9,F9:F18)</f>
        <v>914</v>
      </c>
      <c r="G19" s="1073"/>
      <c r="H19" s="1074">
        <f ca="1">SUMIF(B9:B18,"TOTAL",H9:H18)</f>
        <v>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kHHUoUrNQ18b8y4c/DrLjZaSAGdYy1P/plaasIeqhLaViwIH6KhKXsfVEchP7QFEqLZdfa/gq4MYDuGTb7pEkQ==" saltValue="neAN+LX7rymSOsHsqACdu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2WRnP3QUbduxILp0LVG3zE6SQXY0v86JCXMv1jnGcUWXpRg4b8/kLFB9P/CKsX2k34v1H8tGSt+slI2VYpLQA==" saltValue="kf3gdYt0kWpPGDFMZ2tq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v>
      </c>
      <c r="J10" s="181">
        <v>9</v>
      </c>
      <c r="K10" s="181">
        <v>0</v>
      </c>
      <c r="L10" s="181">
        <v>10</v>
      </c>
      <c r="M10" s="181">
        <v>0</v>
      </c>
      <c r="N10" s="181">
        <v>0</v>
      </c>
      <c r="O10" s="181">
        <v>0</v>
      </c>
      <c r="P10" s="181">
        <v>0</v>
      </c>
      <c r="Q10" s="181">
        <v>0</v>
      </c>
      <c r="R10" s="181">
        <v>0</v>
      </c>
      <c r="S10" s="181">
        <v>6</v>
      </c>
      <c r="T10" s="181">
        <v>6</v>
      </c>
      <c r="U10" s="181">
        <v>5</v>
      </c>
      <c r="V10" s="181">
        <v>7</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6</v>
      </c>
      <c r="BA10" s="129">
        <f t="shared" si="0"/>
        <v>5</v>
      </c>
      <c r="BB10" s="129">
        <f t="shared" si="0"/>
        <v>7</v>
      </c>
      <c r="BC10" s="125">
        <f t="shared" si="0"/>
        <v>0</v>
      </c>
      <c r="BD10" s="126">
        <f>IF(ISNUMBER(BA10/AZ10),BA10/AZ10," - ")</f>
        <v>0.83333333333333337</v>
      </c>
      <c r="BE10" s="127">
        <f>IF(ISNUMBER(BB10/BA10),BB10/BA10, " - ")</f>
        <v>1.4</v>
      </c>
      <c r="BF10" s="127">
        <f>IF(ISNUMBER(BC10/BA10),BC10/BA10, " - ")</f>
        <v>0</v>
      </c>
      <c r="BG10" s="196">
        <f>IF(ISNUMBER((AY10+AZ10)/BA10),(AY10+AZ10)/BA10," - ")</f>
        <v>2.4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1886</v>
      </c>
      <c r="J12" s="183">
        <v>676</v>
      </c>
      <c r="K12" s="183">
        <v>387</v>
      </c>
      <c r="L12" s="183">
        <v>2231</v>
      </c>
      <c r="M12" s="183">
        <v>108</v>
      </c>
      <c r="N12" s="183">
        <v>108</v>
      </c>
      <c r="O12" s="181">
        <v>230</v>
      </c>
      <c r="P12" s="183">
        <v>114</v>
      </c>
      <c r="Q12" s="183">
        <v>164</v>
      </c>
      <c r="R12" s="183">
        <v>1444</v>
      </c>
      <c r="S12" s="183">
        <v>1359</v>
      </c>
      <c r="T12" s="183">
        <v>518</v>
      </c>
      <c r="U12" s="183">
        <v>331</v>
      </c>
      <c r="V12" s="183">
        <v>1546</v>
      </c>
      <c r="W12" s="183">
        <v>91</v>
      </c>
      <c r="X12" s="189">
        <v>94</v>
      </c>
      <c r="Y12" s="191">
        <v>45</v>
      </c>
      <c r="Z12" s="181">
        <v>31</v>
      </c>
      <c r="AA12" s="181">
        <v>36</v>
      </c>
      <c r="AB12" s="181">
        <v>41</v>
      </c>
      <c r="AC12" s="183">
        <v>0</v>
      </c>
      <c r="AD12" s="183">
        <v>0</v>
      </c>
      <c r="AE12" s="183">
        <v>0</v>
      </c>
      <c r="AF12" s="189">
        <v>0</v>
      </c>
      <c r="AG12" s="202">
        <v>47</v>
      </c>
      <c r="AH12" s="183">
        <v>24</v>
      </c>
      <c r="AI12" s="183">
        <v>23</v>
      </c>
      <c r="AJ12" s="203">
        <v>48</v>
      </c>
      <c r="AK12" s="182">
        <v>0</v>
      </c>
      <c r="AL12" s="183">
        <v>0</v>
      </c>
      <c r="AM12" s="183">
        <v>0</v>
      </c>
      <c r="AN12" s="189">
        <v>0</v>
      </c>
      <c r="AO12" s="259">
        <v>2</v>
      </c>
      <c r="AP12" s="155">
        <v>2</v>
      </c>
      <c r="AQ12" s="155">
        <v>2</v>
      </c>
      <c r="AR12" s="154">
        <v>2</v>
      </c>
      <c r="AS12" s="340" t="s">
        <v>802</v>
      </c>
      <c r="AT12" s="203"/>
      <c r="AU12" s="202"/>
      <c r="AV12" s="203"/>
      <c r="AW12" s="202"/>
      <c r="AX12" s="203"/>
      <c r="AY12" s="126">
        <f t="shared" si="1"/>
        <v>1406</v>
      </c>
      <c r="AZ12" s="127">
        <f t="shared" si="1"/>
        <v>542</v>
      </c>
      <c r="BA12" s="127">
        <f t="shared" si="1"/>
        <v>354</v>
      </c>
      <c r="BB12" s="127">
        <f t="shared" si="1"/>
        <v>1594</v>
      </c>
      <c r="BC12" s="125">
        <f>IF(ISNUMBER(X12),X12," - ")</f>
        <v>94</v>
      </c>
      <c r="BD12" s="126">
        <f t="shared" si="2"/>
        <v>0.65313653136531369</v>
      </c>
      <c r="BE12" s="127">
        <f t="shared" si="3"/>
        <v>4.5028248587570623</v>
      </c>
      <c r="BF12" s="127">
        <f t="shared" si="4"/>
        <v>0.2655367231638418</v>
      </c>
      <c r="BG12" s="196">
        <f t="shared" si="5"/>
        <v>5.5028248587570623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1887</v>
      </c>
      <c r="J13" s="184">
        <f t="shared" si="6"/>
        <v>685</v>
      </c>
      <c r="K13" s="184">
        <f t="shared" si="6"/>
        <v>387</v>
      </c>
      <c r="L13" s="184">
        <f t="shared" si="6"/>
        <v>2241</v>
      </c>
      <c r="M13" s="184">
        <f t="shared" si="6"/>
        <v>108</v>
      </c>
      <c r="N13" s="184">
        <f t="shared" si="6"/>
        <v>108</v>
      </c>
      <c r="O13" s="184">
        <f t="shared" si="6"/>
        <v>230</v>
      </c>
      <c r="P13" s="184">
        <f t="shared" si="6"/>
        <v>114</v>
      </c>
      <c r="Q13" s="184">
        <f t="shared" si="6"/>
        <v>164</v>
      </c>
      <c r="R13" s="184">
        <f t="shared" si="6"/>
        <v>1444</v>
      </c>
      <c r="S13" s="184">
        <f t="shared" si="6"/>
        <v>1365</v>
      </c>
      <c r="T13" s="184">
        <f t="shared" si="6"/>
        <v>524</v>
      </c>
      <c r="U13" s="184">
        <f t="shared" si="6"/>
        <v>336</v>
      </c>
      <c r="V13" s="184">
        <f t="shared" si="6"/>
        <v>1553</v>
      </c>
      <c r="W13" s="184">
        <f t="shared" si="6"/>
        <v>91</v>
      </c>
      <c r="X13" s="184">
        <f t="shared" si="6"/>
        <v>94</v>
      </c>
      <c r="Y13" s="184">
        <f t="shared" si="6"/>
        <v>45</v>
      </c>
      <c r="Z13" s="184">
        <f t="shared" si="6"/>
        <v>31</v>
      </c>
      <c r="AA13" s="184">
        <f t="shared" si="6"/>
        <v>36</v>
      </c>
      <c r="AB13" s="184">
        <f t="shared" si="6"/>
        <v>41</v>
      </c>
      <c r="AC13" s="184">
        <f t="shared" si="6"/>
        <v>0</v>
      </c>
      <c r="AD13" s="184">
        <f t="shared" si="6"/>
        <v>0</v>
      </c>
      <c r="AE13" s="184">
        <f t="shared" si="6"/>
        <v>0</v>
      </c>
      <c r="AF13" s="184">
        <f>SUBTOTAL(9,AF9:AF12)</f>
        <v>0</v>
      </c>
      <c r="AG13" s="184">
        <f t="shared" ref="AG13:AT13" si="7">SUBTOTAL(9,AG8:AG12)</f>
        <v>47</v>
      </c>
      <c r="AH13" s="184">
        <f t="shared" si="7"/>
        <v>24</v>
      </c>
      <c r="AI13" s="184">
        <f t="shared" si="7"/>
        <v>23</v>
      </c>
      <c r="AJ13" s="184">
        <f t="shared" si="7"/>
        <v>48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1412</v>
      </c>
      <c r="AZ13" s="184">
        <f>SUBTOTAL(9,AZ8:AZ12)</f>
        <v>548</v>
      </c>
      <c r="BA13" s="184">
        <f>SUBTOTAL(9,BA8:BA12)</f>
        <v>359</v>
      </c>
      <c r="BB13" s="184">
        <f>SUBTOTAL(9,BB8:BB12)</f>
        <v>1601</v>
      </c>
      <c r="BC13" s="184">
        <f>SUBTOTAL(9,BC8:BC12)</f>
        <v>94</v>
      </c>
      <c r="BD13" s="205">
        <f>IF(ISNUMBER(BA13/AZ13),BA13/AZ13," - ")</f>
        <v>0.6551094890510949</v>
      </c>
      <c r="BE13" s="206">
        <f>IF(ISNUMBER(BB13/BA13),BB13/BA13, " - ")</f>
        <v>4.4596100278551534</v>
      </c>
      <c r="BF13" s="206">
        <f>IF(ISNUMBER(BC13/BA13),BC13/BA13, " - ")</f>
        <v>0.2618384401114206</v>
      </c>
      <c r="BG13" s="207">
        <f>IF(ISNUMBER((AY13+AZ13)/BA13),(AY13+AZ13)/BA13," - ")</f>
        <v>5.4596100278551534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1058</v>
      </c>
      <c r="J16" s="183">
        <v>1018</v>
      </c>
      <c r="K16" s="183">
        <v>881</v>
      </c>
      <c r="L16" s="183">
        <v>1049</v>
      </c>
      <c r="M16" s="183">
        <v>72</v>
      </c>
      <c r="N16" s="183">
        <v>700</v>
      </c>
      <c r="O16" s="181">
        <v>2</v>
      </c>
      <c r="P16" s="183">
        <v>13</v>
      </c>
      <c r="Q16" s="183">
        <v>5</v>
      </c>
      <c r="R16" s="183">
        <v>65</v>
      </c>
      <c r="S16" s="183">
        <v>1047</v>
      </c>
      <c r="T16" s="183">
        <v>680</v>
      </c>
      <c r="U16" s="183">
        <v>724</v>
      </c>
      <c r="V16" s="183">
        <v>1009</v>
      </c>
      <c r="W16" s="183">
        <v>79</v>
      </c>
      <c r="X16" s="189">
        <v>491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1047</v>
      </c>
      <c r="AZ16" s="127">
        <f t="shared" si="9"/>
        <v>680</v>
      </c>
      <c r="BA16" s="127">
        <f t="shared" si="9"/>
        <v>724</v>
      </c>
      <c r="BB16" s="127">
        <f t="shared" si="9"/>
        <v>1009</v>
      </c>
      <c r="BC16" s="125">
        <f>IF(ISNUMBER(W16),W16," - ")</f>
        <v>79</v>
      </c>
      <c r="BD16" s="126">
        <f t="shared" ref="BD16" si="11">IF(ISNUMBER(BA16/AZ16),BA16/AZ16," - ")</f>
        <v>1.0647058823529412</v>
      </c>
      <c r="BE16" s="127">
        <f t="shared" ref="BE16" si="12">IF(ISNUMBER(BB16/BA16),BB16/BA16, " - ")</f>
        <v>1.3936464088397791</v>
      </c>
      <c r="BF16" s="127">
        <f t="shared" ref="BF16" si="13">IF(ISNUMBER(BC16/BA16),BC16/BA16, " - ")</f>
        <v>0.10911602209944751</v>
      </c>
      <c r="BG16" s="196">
        <f t="shared" si="10"/>
        <v>2.3853591160220993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70</v>
      </c>
      <c r="J17" s="183">
        <v>37</v>
      </c>
      <c r="K17" s="183">
        <v>33</v>
      </c>
      <c r="L17" s="183">
        <v>74</v>
      </c>
      <c r="M17" s="183">
        <v>1</v>
      </c>
      <c r="N17" s="183">
        <v>19</v>
      </c>
      <c r="O17" s="183">
        <v>0</v>
      </c>
      <c r="P17" s="183">
        <v>0</v>
      </c>
      <c r="Q17" s="183">
        <v>0</v>
      </c>
      <c r="R17" s="183">
        <v>0</v>
      </c>
      <c r="S17" s="183">
        <v>12</v>
      </c>
      <c r="T17" s="183">
        <v>60</v>
      </c>
      <c r="U17" s="183">
        <v>42</v>
      </c>
      <c r="V17" s="183">
        <v>30</v>
      </c>
      <c r="W17" s="183">
        <v>7</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60</v>
      </c>
      <c r="BA17" s="129">
        <f t="shared" si="14"/>
        <v>42</v>
      </c>
      <c r="BB17" s="129">
        <f t="shared" si="14"/>
        <v>30</v>
      </c>
      <c r="BC17" s="125">
        <f>IF(ISNUMBER(W17),W17," - ")</f>
        <v>7</v>
      </c>
      <c r="BD17" s="126">
        <f>IF(ISNUMBER(BA17/AZ17),BA17/AZ17," - ")</f>
        <v>0.7</v>
      </c>
      <c r="BE17" s="127">
        <f>IF(ISNUMBER(BB17/BA17),BB17/BA17, " - ")</f>
        <v>0.7142857142857143</v>
      </c>
      <c r="BF17" s="127">
        <f>IF(ISNUMBER(BC17/BA17),BC17/BA17, " - ")</f>
        <v>0.16666666666666666</v>
      </c>
      <c r="BG17" s="196">
        <f>IF(ISNUMBER((AY17+AZ17)/BA17),(AY17+AZ17)/BA17," - ")</f>
        <v>1.7142857142857142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1128</v>
      </c>
      <c r="J18" s="184">
        <f t="shared" si="15"/>
        <v>1055</v>
      </c>
      <c r="K18" s="184">
        <f t="shared" si="15"/>
        <v>914</v>
      </c>
      <c r="L18" s="184">
        <f t="shared" si="15"/>
        <v>1123</v>
      </c>
      <c r="M18" s="184">
        <f t="shared" si="15"/>
        <v>73</v>
      </c>
      <c r="N18" s="184">
        <f t="shared" si="15"/>
        <v>719</v>
      </c>
      <c r="O18" s="184">
        <f t="shared" si="15"/>
        <v>2</v>
      </c>
      <c r="P18" s="184">
        <f t="shared" si="15"/>
        <v>13</v>
      </c>
      <c r="Q18" s="184">
        <f t="shared" si="15"/>
        <v>5</v>
      </c>
      <c r="R18" s="184">
        <f t="shared" si="15"/>
        <v>65</v>
      </c>
      <c r="S18" s="184">
        <f t="shared" si="15"/>
        <v>1059</v>
      </c>
      <c r="T18" s="184">
        <f t="shared" si="15"/>
        <v>740</v>
      </c>
      <c r="U18" s="184">
        <f t="shared" si="15"/>
        <v>766</v>
      </c>
      <c r="V18" s="184">
        <f t="shared" si="15"/>
        <v>1039</v>
      </c>
      <c r="W18" s="184">
        <f t="shared" si="15"/>
        <v>86</v>
      </c>
      <c r="X18" s="184">
        <f t="shared" si="15"/>
        <v>522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1059</v>
      </c>
      <c r="AZ18" s="184">
        <f>SUBTOTAL(9,AZ14:AZ17)</f>
        <v>740</v>
      </c>
      <c r="BA18" s="184">
        <f>SUBTOTAL(9,BA14:BA17)</f>
        <v>766</v>
      </c>
      <c r="BB18" s="184">
        <f>SUBTOTAL(9,BB14:BB17)</f>
        <v>1039</v>
      </c>
      <c r="BC18" s="184">
        <f>SUBTOTAL(9,BC14:BC17)</f>
        <v>86</v>
      </c>
      <c r="BD18" s="205">
        <f>IF(ISNUMBER(BA18/AZ18),BA18/AZ18," - ")</f>
        <v>1.0351351351351352</v>
      </c>
      <c r="BE18" s="206">
        <f>IF(ISNUMBER(BB18/BA18),BB18/BA18, " - ")</f>
        <v>1.3563968668407311</v>
      </c>
      <c r="BF18" s="206">
        <f>IF(ISNUMBER(BC18/BA18),BC18/BA18, " - ")</f>
        <v>0.1122715404699739</v>
      </c>
      <c r="BG18" s="207">
        <f>IF(ISNUMBER((AY18+AZ18)/BA18),(AY18+AZ18)/BA18," - ")</f>
        <v>2.3485639686684072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3015</v>
      </c>
      <c r="J19" s="134">
        <f t="shared" si="18"/>
        <v>1740</v>
      </c>
      <c r="K19" s="134">
        <f t="shared" si="18"/>
        <v>1301</v>
      </c>
      <c r="L19" s="134">
        <f t="shared" si="18"/>
        <v>3364</v>
      </c>
      <c r="M19" s="134">
        <f t="shared" si="18"/>
        <v>181</v>
      </c>
      <c r="N19" s="134">
        <f t="shared" si="18"/>
        <v>827</v>
      </c>
      <c r="O19" s="134">
        <f t="shared" si="18"/>
        <v>232</v>
      </c>
      <c r="P19" s="134">
        <f t="shared" si="18"/>
        <v>127</v>
      </c>
      <c r="Q19" s="134">
        <f t="shared" si="18"/>
        <v>169</v>
      </c>
      <c r="R19" s="134">
        <f t="shared" si="18"/>
        <v>1509</v>
      </c>
      <c r="S19" s="134">
        <f t="shared" si="18"/>
        <v>2424</v>
      </c>
      <c r="T19" s="134">
        <f t="shared" si="18"/>
        <v>1264</v>
      </c>
      <c r="U19" s="134">
        <f t="shared" si="18"/>
        <v>1102</v>
      </c>
      <c r="V19" s="134">
        <f t="shared" si="18"/>
        <v>2592</v>
      </c>
      <c r="W19" s="134">
        <f t="shared" si="18"/>
        <v>177</v>
      </c>
      <c r="X19" s="134">
        <f t="shared" si="18"/>
        <v>616</v>
      </c>
      <c r="Y19" s="134">
        <f t="shared" si="18"/>
        <v>45</v>
      </c>
      <c r="Z19" s="134">
        <f t="shared" si="18"/>
        <v>31</v>
      </c>
      <c r="AA19" s="134">
        <f t="shared" si="18"/>
        <v>36</v>
      </c>
      <c r="AB19" s="134">
        <f t="shared" si="18"/>
        <v>41</v>
      </c>
      <c r="AC19" s="134">
        <f t="shared" si="18"/>
        <v>0</v>
      </c>
      <c r="AD19" s="134">
        <f t="shared" si="18"/>
        <v>0</v>
      </c>
      <c r="AE19" s="134">
        <f t="shared" si="18"/>
        <v>0</v>
      </c>
      <c r="AF19" s="134">
        <f t="shared" si="18"/>
        <v>0</v>
      </c>
      <c r="AG19" s="134">
        <f t="shared" si="18"/>
        <v>47</v>
      </c>
      <c r="AH19" s="134">
        <f t="shared" si="18"/>
        <v>24</v>
      </c>
      <c r="AI19" s="134">
        <f t="shared" si="18"/>
        <v>23</v>
      </c>
      <c r="AJ19" s="134">
        <f t="shared" si="18"/>
        <v>48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2471</v>
      </c>
      <c r="AZ19" s="134">
        <f>SUBTOTAL(9,AZ9:AZ18)</f>
        <v>1288</v>
      </c>
      <c r="BA19" s="134">
        <f>SUBTOTAL(9,BA9:BA18)</f>
        <v>1125</v>
      </c>
      <c r="BB19" s="134">
        <f>SUBTOTAL(9,BB9:BB18)</f>
        <v>2640</v>
      </c>
      <c r="BC19" s="135">
        <f>SUBTOTAL(9,BC9:BC18)</f>
        <v>180</v>
      </c>
      <c r="BD19" s="213">
        <f>IF(ISNUMBER(BA19/AZ19),BA19/AZ19," - ")</f>
        <v>0.87344720496894412</v>
      </c>
      <c r="BE19" s="210">
        <f>IF(ISNUMBER(BB19/BA19),BB19/BA19, " - ")</f>
        <v>2.3466666666666667</v>
      </c>
      <c r="BF19" s="210">
        <f>IF(ISNUMBER(BC19/BA19),BC19/BA19, " - ")</f>
        <v>0.16</v>
      </c>
      <c r="BG19" s="135">
        <f>IF(ISNUMBER((AY19+AZ19)/BA19),(AY19+AZ19)/BA19," - ")</f>
        <v>3.3413333333333335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Vhv3/KGsWcBBvXBxJNwPxP15HEWrTQJ/PuGpuEz7ZypKWcAsZNPgQEwP8ejSONLkD1JClAGnqTHgEXR00SQJyA==" saltValue="Ib0S6QtdXTOUvR1Z8F2yw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YE1j0/SDFPrPy0qMrLFlLfGuZorUeWE8ijyOdcW+/HxjU8kz54nHtrxbmleCqzUsd7VzBmWV02yi3h965CIhRg==" saltValue="/0ujM/jyhZq+AO8FhtbZu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MALAGA  Resumenes por Partidos Judiciales  TORROX</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31</v>
      </c>
      <c r="O12" s="334"/>
      <c r="P12" s="334"/>
      <c r="Q12" s="226">
        <f>IF(ISNUMBER(Datos!P12),Datos!P12,0)</f>
        <v>114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41</v>
      </c>
      <c r="AI12" s="334" t="str">
        <f>IF(ISNUMBER(Datos!CD12),Datos!CD12,"-")</f>
        <v>-</v>
      </c>
      <c r="AJ12" s="334" t="str">
        <f>IF(ISNUMBER(Datos!EN12),Datos!EN12," - ")</f>
        <v xml:space="preserve"> - </v>
      </c>
      <c r="AK12" s="334"/>
      <c r="AL12" s="479"/>
      <c r="AM12" s="335">
        <f>IF(ISNUMBER(Datos!R12),Datos!R12," - ")</f>
        <v>1444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108</v>
      </c>
      <c r="BD12" s="229">
        <f>IF(ISNUMBER(Datos!N12),Datos!N12," - ")</f>
        <v>108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0.59830268741159831</v>
      </c>
      <c r="BH12" s="260">
        <f>IF(ISNUMBER(((IF(J_V="SI",Datos!L12/Datos!K12,(Datos!L12+Datos!AB12)/(Datos!K12+Datos!AA12)))*11)/factor_trimestre),((IF(J_V="SI",Datos!L12/Datos!K12,(Datos!L12+Datos!AB12)/(Datos!K12+Datos!AA12)))*11)/factor_trimestre," - ")</f>
        <v>16.113475177304963</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-3.3467202141900937E-2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31</v>
      </c>
      <c r="O13" s="900">
        <f t="shared" si="0"/>
        <v>0</v>
      </c>
      <c r="P13" s="900">
        <f t="shared" si="0"/>
        <v>0</v>
      </c>
      <c r="Q13" s="899">
        <f t="shared" si="0"/>
        <v>114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164</v>
      </c>
      <c r="AD13" s="899">
        <f t="shared" si="1"/>
        <v>0</v>
      </c>
      <c r="AE13" s="899">
        <f t="shared" si="1"/>
        <v>0</v>
      </c>
      <c r="AF13" s="899">
        <f t="shared" si="1"/>
        <v>10</v>
      </c>
      <c r="AG13" s="899">
        <f t="shared" si="1"/>
        <v>0</v>
      </c>
      <c r="AH13" s="899">
        <f t="shared" si="1"/>
        <v>41</v>
      </c>
      <c r="AI13" s="899">
        <f t="shared" si="1"/>
        <v>0</v>
      </c>
      <c r="AJ13" s="899">
        <f t="shared" si="1"/>
        <v>0</v>
      </c>
      <c r="AK13" s="899">
        <f t="shared" si="1"/>
        <v>0</v>
      </c>
      <c r="AL13" s="899">
        <f t="shared" si="1"/>
        <v>0</v>
      </c>
      <c r="AM13" s="899">
        <f t="shared" si="1"/>
        <v>1444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108</v>
      </c>
      <c r="BD13" s="899">
        <f t="shared" si="1"/>
        <v>108</v>
      </c>
      <c r="BE13" s="899">
        <f t="shared" si="1"/>
        <v>0</v>
      </c>
      <c r="BF13" s="899">
        <f t="shared" si="1"/>
        <v>0</v>
      </c>
      <c r="BG13" s="899">
        <f>IF(ISNUMBER(Datos!K13/Datos!J13),Datos!K13/Datos!J13," - ")</f>
        <v>0.56496350364963499</v>
      </c>
      <c r="BH13" s="903">
        <f>IF(ISNUMBER(((Datos!L13/Datos!K13)*11)/factor_trimestre),((Datos!L13/Datos!K13)*11)/factor_trimestre," - ")</f>
        <v>17.372093023255815</v>
      </c>
      <c r="BI13" s="899">
        <f>IF(ISNUMBER('Resol  Asuntos'!D13/NºAsuntos!G13),'Resol  Asuntos'!D13/NºAsuntos!G13," - ")</f>
        <v>0.25531914893617019</v>
      </c>
      <c r="BJ13" s="899" t="str">
        <f>IF(ISNUMBER(Datos!CI13/Datos!CJ13),Datos!CI13/Datos!CJ13," - ")</f>
        <v xml:space="preserve"> - </v>
      </c>
      <c r="BK13" s="899">
        <f>SUBTOTAL(9,BK8:BK12)</f>
        <v>0</v>
      </c>
      <c r="BL13" s="899">
        <f>IF(ISNUMBER((I13-AB13+L13)/(F13)),(I13-AB13+L13)/(F13)," - ")</f>
        <v>0</v>
      </c>
      <c r="BM13" s="904">
        <f>SUBTOTAL(9,BM9:BM12)</f>
        <v>-3.3467202141900937E-2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912</v>
      </c>
      <c r="G16" s="598">
        <f>IF(ISNUMBER(IF(D_I="SI",Datos!I16,Datos!I16+Datos!AC16)),IF(D_I="SI",Datos!I16,Datos!I16+Datos!AC16)," - ")</f>
        <v>1058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881</v>
      </c>
      <c r="AC16" s="226">
        <f>IF(ISNUMBER(Datos!Q16),Datos!Q16," - ")</f>
        <v>5</v>
      </c>
      <c r="AD16" s="334"/>
      <c r="AE16" s="484"/>
      <c r="AF16" s="596">
        <f>IF(ISNUMBER(IF(D_I="SI",Datos!L16,Datos!L16+Datos!AF16)),IF(D_I="SI",Datos!L16,Datos!L16+Datos!AF16)," - ")</f>
        <v>1049</v>
      </c>
      <c r="AG16" s="334"/>
      <c r="AH16" s="334"/>
      <c r="AI16" s="334"/>
      <c r="AJ16" s="334"/>
      <c r="AK16" s="334"/>
      <c r="AL16" s="479"/>
      <c r="AM16" s="335">
        <f>IF(ISNUMBER(Datos!R16),Datos!R16," - ")</f>
        <v>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72</v>
      </c>
      <c r="BD16" s="229">
        <f>IF(ISNUMBER(Datos!N16),Datos!N16," - ")</f>
        <v>700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0.86542239685658151</v>
      </c>
      <c r="BH16" s="260">
        <f>IF(ISNUMBER(((IF(D_I="SI",Datos!L16/Datos!K16,(Datos!L16+Datos!AF16)/(Datos!K16+Datos!AE16)))*11)/factor_trimestre),((IF(D_I="SI",Datos!L16/Datos!K16,(Datos!L16+Datos!AF16)/(Datos!K16+Datos!AE16)))*11)/factor_trimestre," - ")</f>
        <v>3.5720771850170263</v>
      </c>
      <c r="BI16" s="243">
        <f>IF(ISNUMBER('Resol  Asuntos'!D16/NºAsuntos!G16),'Resol  Asuntos'!D16/NºAsuntos!G16," - ")</f>
        <v>8.1725312145289442E-2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v>
      </c>
      <c r="AC17" s="226">
        <f>IF(ISNUMBER(Datos!Q17),Datos!Q17," - ")</f>
        <v>0</v>
      </c>
      <c r="AD17" s="334"/>
      <c r="AE17" s="484"/>
      <c r="AF17" s="332">
        <f>IF(ISNUMBER(Datos!L17),Datos!L17,"-")</f>
        <v>74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0.89189189189189189</v>
      </c>
      <c r="BH17" s="260">
        <f>IF(ISNUMBER(((IF(D_I="SI",Datos!L17/Datos!K17,(Datos!L17+Datos!AF17)/(Datos!K17+Datos!AE17)))*11)/factor_trimestre),((IF(D_I="SI",Datos!L17/Datos!K17,(Datos!L17+Datos!AF17)/(Datos!K17+Datos!AE17)))*11)/factor_trimestre," - ")</f>
        <v>6.7272727272727266</v>
      </c>
      <c r="BI17" s="243">
        <f>IF(ISNUMBER('Resol  Asuntos'!D17/NºAsuntos!G17),'Resol  Asuntos'!D17/NºAsuntos!G17," - ")</f>
        <v>3.0303030303030304E-2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912</v>
      </c>
      <c r="G18" s="898">
        <f>SUBTOTAL(9,G15:G17)</f>
        <v>1128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914</v>
      </c>
      <c r="AC18" s="899">
        <f t="shared" si="4"/>
        <v>5</v>
      </c>
      <c r="AD18" s="899">
        <f t="shared" si="4"/>
        <v>0</v>
      </c>
      <c r="AE18" s="899">
        <f t="shared" si="4"/>
        <v>0</v>
      </c>
      <c r="AF18" s="899">
        <f t="shared" si="4"/>
        <v>1123</v>
      </c>
      <c r="AG18" s="899">
        <f t="shared" si="4"/>
        <v>0</v>
      </c>
      <c r="AH18" s="899">
        <f t="shared" si="4"/>
        <v>0</v>
      </c>
      <c r="AI18" s="899">
        <f t="shared" si="4"/>
        <v>0</v>
      </c>
      <c r="AJ18" s="899">
        <f t="shared" si="4"/>
        <v>0</v>
      </c>
      <c r="AK18" s="899">
        <f t="shared" si="4"/>
        <v>0</v>
      </c>
      <c r="AL18" s="899">
        <f t="shared" si="4"/>
        <v>0</v>
      </c>
      <c r="AM18" s="899">
        <f t="shared" si="4"/>
        <v>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73</v>
      </c>
      <c r="BD18" s="899">
        <f t="shared" si="4"/>
        <v>719</v>
      </c>
      <c r="BE18" s="899">
        <f t="shared" si="4"/>
        <v>0</v>
      </c>
      <c r="BF18" s="899">
        <f t="shared" si="4"/>
        <v>0</v>
      </c>
      <c r="BG18" s="899">
        <f>IF(ISNUMBER(Datos!K18/Datos!J18),Datos!K18/Datos!J18," - ")</f>
        <v>0.86635071090047389</v>
      </c>
      <c r="BH18" s="903">
        <f>IF(ISNUMBER(((Datos!L18/Datos!K18)*11)/factor_trimestre),((Datos!L18/Datos!K18)*11)/factor_trimestre," - ")</f>
        <v>3.6859956236323854</v>
      </c>
      <c r="BI18" s="899">
        <f>SUBTOTAL(9,BI15:BI17)</f>
        <v>0.11202834244831975</v>
      </c>
      <c r="BJ18" s="899">
        <f>SUBTOTAL(9,BJ15:BJ17)</f>
        <v>0</v>
      </c>
      <c r="BK18" s="899">
        <f>SUBTOTAL(9,BK15:BK17)</f>
        <v>0</v>
      </c>
      <c r="BL18" s="899">
        <f>IF(ISNUMBER((I18-AB18+L18)/(F18)),(I18-AB18+L18)/(F18)," - ")</f>
        <v>-1.0021929824561404</v>
      </c>
      <c r="BM18" s="905">
        <f>IF(ISNUMBER((Datos!P18-Datos!Q18)/(Datos!R18-Datos!P18+Datos!Q18)),(Datos!P18-Datos!Q18)/(Datos!R18-Datos!P18+Datos!Q18)," - ")</f>
        <v>0.14035087719298245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913</v>
      </c>
      <c r="G19" s="820">
        <f t="shared" si="6"/>
        <v>1129</v>
      </c>
      <c r="H19" s="822">
        <f t="shared" si="6"/>
        <v>0</v>
      </c>
      <c r="I19" s="820">
        <f t="shared" si="6"/>
        <v>0</v>
      </c>
      <c r="J19" s="822">
        <f t="shared" si="6"/>
        <v>0</v>
      </c>
      <c r="K19" s="822">
        <f t="shared" si="6"/>
        <v>0</v>
      </c>
      <c r="L19" s="881">
        <f t="shared" si="6"/>
        <v>0</v>
      </c>
      <c r="M19" s="881">
        <f t="shared" si="6"/>
        <v>0</v>
      </c>
      <c r="N19" s="881">
        <f t="shared" si="6"/>
        <v>31</v>
      </c>
      <c r="O19" s="881">
        <f t="shared" si="6"/>
        <v>0</v>
      </c>
      <c r="P19" s="881">
        <f t="shared" si="6"/>
        <v>0</v>
      </c>
      <c r="Q19" s="822">
        <f t="shared" si="6"/>
        <v>127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914</v>
      </c>
      <c r="AC19" s="821">
        <f t="shared" si="7"/>
        <v>169</v>
      </c>
      <c r="AD19" s="821">
        <f t="shared" si="7"/>
        <v>0</v>
      </c>
      <c r="AE19" s="821">
        <f t="shared" si="7"/>
        <v>0</v>
      </c>
      <c r="AF19" s="828">
        <f t="shared" si="7"/>
        <v>1133</v>
      </c>
      <c r="AG19" s="828">
        <f t="shared" si="7"/>
        <v>0</v>
      </c>
      <c r="AH19" s="828">
        <f t="shared" si="7"/>
        <v>41</v>
      </c>
      <c r="AI19" s="828">
        <f t="shared" si="7"/>
        <v>0</v>
      </c>
      <c r="AJ19" s="821">
        <f t="shared" si="7"/>
        <v>0</v>
      </c>
      <c r="AK19" s="828">
        <f t="shared" si="7"/>
        <v>0</v>
      </c>
      <c r="AL19" s="828">
        <f t="shared" si="7"/>
        <v>0</v>
      </c>
      <c r="AM19" s="828">
        <f t="shared" si="7"/>
        <v>1509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181</v>
      </c>
      <c r="BD19" s="820">
        <f t="shared" si="7"/>
        <v>827</v>
      </c>
      <c r="BE19" s="820">
        <f t="shared" si="7"/>
        <v>0</v>
      </c>
      <c r="BF19" s="830">
        <f t="shared" si="7"/>
        <v>0</v>
      </c>
      <c r="BG19" s="915">
        <f>IF(ISNUMBER(Datos!K19/Datos!J19),Datos!K19/Datos!J19," - ")</f>
        <v>0.74770114942528731</v>
      </c>
      <c r="BH19" s="915">
        <f>IF(ISNUMBER(((Datos!L19/Datos!K19)*11)/factor_trimestre),((Datos!L19/Datos!K19)*11)/factor_trimestre," - ")</f>
        <v>7.7571099154496537</v>
      </c>
      <c r="BI19" s="813">
        <f>IF(ISNUMBER(Datos!J19/Datos!I19),Datos!J19/Datos!I19," - ")</f>
        <v>0.57711442786069655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-1.0010952902519168</v>
      </c>
      <c r="BM19" s="889">
        <f>IF(ISNUMBER((Datos!P19-Datos!Q19+R19)/(Datos!R19-Datos!P19+Datos!Q19-R19)),(Datos!P19-Datos!Q19+R19)/(Datos!R19-Datos!P19+Datos!Q19-R19)," - ")</f>
        <v>-2.7079303675048357E-2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525.96609523174902</v>
      </c>
      <c r="G21" s="552">
        <f>IF(ISNUMBER(STDEV(G8:G18)),STDEV(G8:G18),"-")</f>
        <v>586.71483703755098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485.88301061057894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48.992516435335986</v>
      </c>
      <c r="BD21" s="551"/>
      <c r="BE21" s="551">
        <f>IF(ISNUMBER(STDEV(BE8:BE18)),STDEV(BE8:BE18),"-")</f>
        <v>0</v>
      </c>
      <c r="BF21" s="556">
        <f>IF(ISNUMBER(STDEV(BF8:BF18)),STDEV(BF8:BF18),"-")</f>
        <v>0</v>
      </c>
      <c r="BG21" s="775">
        <f>IF(ISNUMBER(STDEV(BG8:BG18)),STDEV(BG8:BG18),"-")</f>
        <v>0.34117420333479281</v>
      </c>
      <c r="BH21" s="776">
        <f>IF(ISNUMBER(STDEV(BH8:BH18)),STDEV(BH8:BH18),"-")</f>
        <v>6.7516417559586905</v>
      </c>
      <c r="BI21" s="249">
        <f>IF(ISNUMBER(STDEV(BI8:BI18)),STDEV(BI8:BI18),"-")</f>
        <v>9.6410960822709793E-2</v>
      </c>
      <c r="BJ21" s="230" t="str">
        <f>IF(ISNUMBER(BL21/BM21),BL21/BM21," - ")</f>
        <v xml:space="preserve"> - </v>
      </c>
      <c r="BK21" s="575"/>
      <c r="BL21" s="559">
        <f>IF(ISNUMBER(STDEV(BL8:BL18)),STDEV(BL8:BL18),"-")</f>
        <v>0.70865745395230761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fKeKLAAY/sZg0w/ptLMM4vCuqmvURmIaBDnCmmmnDyYH+HzKVp2M4y/jBrlftYTOqSVrnSQ6ywDtYC1KgS8tiw==" saltValue="QUFM92LQAyQmfPkzllL1q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MALAGA  Resumenes por Partidos Judiciales  TORROX</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164</v>
      </c>
      <c r="AA12" s="332" t="str">
        <f>IF(ISNUMBER(IF(J_V="SI",Datos!L12,Datos!L12+Datos!AB12)-IF(Monitorios="SI",Datos!CD12,0)),
                          IF(J_V="SI",Datos!L12,Datos!L12+Datos!AB12)-IF(Monitorios="SI",Datos!CD12,0),
                          " - ")</f>
        <v xml:space="preserve"> - </v>
      </c>
      <c r="AB12" s="334"/>
      <c r="AC12" s="334"/>
      <c r="AD12" s="484"/>
      <c r="AE12" s="484">
        <f>IF(ISNUMBER(Datos!R12),Datos!R12," - ")</f>
        <v>1444</v>
      </c>
      <c r="AF12" s="229" t="str">
        <f>IF(ISNUMBER(Datos!BV12),Datos!BV12," - ")</f>
        <v xml:space="preserve"> - </v>
      </c>
      <c r="AG12" s="225" t="str">
        <f>IF(ISNUMBER(Datos!DV12),Datos!DV12," - ")</f>
        <v xml:space="preserve"> - </v>
      </c>
      <c r="AH12" s="298"/>
      <c r="AI12" s="227"/>
      <c r="AJ12" s="225">
        <f>IF(ISNUMBER(Datos!M12),Datos!M12," - ")</f>
        <v>108</v>
      </c>
      <c r="AK12" s="229">
        <f>IF(ISNUMBER(Datos!N12),Datos!N12," - ")</f>
        <v>108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16.113475177304963</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-3.3467202141900937E-2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164</v>
      </c>
      <c r="AA13" s="900">
        <f t="shared" si="2"/>
        <v>10</v>
      </c>
      <c r="AB13" s="900">
        <f t="shared" si="2"/>
        <v>0</v>
      </c>
      <c r="AC13" s="900">
        <f t="shared" si="2"/>
        <v>0</v>
      </c>
      <c r="AD13" s="900">
        <f t="shared" si="2"/>
        <v>0</v>
      </c>
      <c r="AE13" s="900">
        <f t="shared" si="2"/>
        <v>1444</v>
      </c>
      <c r="AF13" s="908">
        <f t="shared" si="2"/>
        <v>0</v>
      </c>
      <c r="AG13" s="908">
        <f t="shared" si="2"/>
        <v>0</v>
      </c>
      <c r="AH13" s="908">
        <f t="shared" si="2"/>
        <v>0</v>
      </c>
      <c r="AI13" s="908">
        <f t="shared" si="2"/>
        <v>0</v>
      </c>
      <c r="AJ13" s="908">
        <f t="shared" si="2"/>
        <v>108</v>
      </c>
      <c r="AK13" s="908">
        <f t="shared" si="2"/>
        <v>108</v>
      </c>
      <c r="AL13" s="908">
        <f t="shared" si="2"/>
        <v>0</v>
      </c>
      <c r="AM13" s="908">
        <f t="shared" si="2"/>
        <v>0</v>
      </c>
      <c r="AN13" s="908">
        <f t="shared" si="2"/>
        <v>0</v>
      </c>
      <c r="AO13" s="904">
        <f>IF(ISNUMBER(((NºAsuntos!I13/NºAsuntos!G13)*11)/factor_trimestre),((NºAsuntos!I13/NºAsuntos!G13)*11)/factor_trimestre," - ")</f>
        <v>16.184397163120568</v>
      </c>
      <c r="AP13" s="910" t="str">
        <f>IF(ISNUMBER(Datos!CI13/Datos!CJ13),Datos!CI13/Datos!CJ13," - ")</f>
        <v xml:space="preserve"> - </v>
      </c>
      <c r="AQ13" s="928">
        <f t="shared" ref="AQ13:AV13" si="3">SUBTOTAL(9,AQ9:AQ12)</f>
        <v>0</v>
      </c>
      <c r="AR13" s="928">
        <f t="shared" si="3"/>
        <v>-3.3467202141900937E-2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912</v>
      </c>
      <c r="G16" s="225">
        <f>IF(ISNUMBER(IF(D_I="SI",Datos!I16,Datos!I16+Datos!AC16)),IF(D_I="SI",Datos!I16,Datos!I16+Datos!AC16)," - ")</f>
        <v>1058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881</v>
      </c>
      <c r="Z16" s="619">
        <f>IF(ISNUMBER(Datos!Q16),Datos!Q16," - ")</f>
        <v>5</v>
      </c>
      <c r="AA16" s="332">
        <f>IF(ISNUMBER(IF(D_I="SI",Datos!L16,Datos!L16+Datos!AF16)),IF(D_I="SI",Datos!L16,Datos!L16+Datos!AF16)," - ")</f>
        <v>1049</v>
      </c>
      <c r="AB16" s="334"/>
      <c r="AC16" s="334"/>
      <c r="AD16" s="484"/>
      <c r="AE16" s="484">
        <f>IF(ISNUMBER(Datos!R16),Datos!R16," - ")</f>
        <v>65</v>
      </c>
      <c r="AF16" s="229" t="str">
        <f>IF(ISNUMBER(Datos!BV16),Datos!BV16," - ")</f>
        <v xml:space="preserve"> - </v>
      </c>
      <c r="AG16" s="225"/>
      <c r="AH16" s="298"/>
      <c r="AI16" s="227"/>
      <c r="AJ16" s="225">
        <f>IF(ISNUMBER(Datos!M16),Datos!M16," - ")</f>
        <v>72</v>
      </c>
      <c r="AK16" s="229">
        <f>IF(ISNUMBER(Datos!N16),Datos!N16," - ")</f>
        <v>700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3.5720771850170263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v>
      </c>
      <c r="Z17" s="619">
        <f>IF(ISNUMBER(Datos!Q17),Datos!Q17," - ")</f>
        <v>0</v>
      </c>
      <c r="AA17" s="332">
        <f>IF(ISNUMBER(Datos!L17),Datos!L17,"-")</f>
        <v>74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6.7272727272727266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912</v>
      </c>
      <c r="G18" s="898">
        <f>SUBTOTAL(9,G15:G17)</f>
        <v>1128</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914</v>
      </c>
      <c r="Z18" s="932">
        <f t="shared" si="5"/>
        <v>5</v>
      </c>
      <c r="AA18" s="932">
        <f t="shared" si="5"/>
        <v>1123</v>
      </c>
      <c r="AB18" s="932">
        <f t="shared" si="5"/>
        <v>0</v>
      </c>
      <c r="AC18" s="932">
        <f t="shared" si="5"/>
        <v>0</v>
      </c>
      <c r="AD18" s="932">
        <f t="shared" si="5"/>
        <v>0</v>
      </c>
      <c r="AE18" s="932">
        <f t="shared" si="5"/>
        <v>65</v>
      </c>
      <c r="AF18" s="932">
        <f t="shared" si="5"/>
        <v>0</v>
      </c>
      <c r="AG18" s="932">
        <f t="shared" si="5"/>
        <v>0</v>
      </c>
      <c r="AH18" s="932">
        <f t="shared" si="5"/>
        <v>0</v>
      </c>
      <c r="AI18" s="932">
        <f t="shared" si="5"/>
        <v>0</v>
      </c>
      <c r="AJ18" s="932">
        <f t="shared" si="5"/>
        <v>73</v>
      </c>
      <c r="AK18" s="932">
        <f t="shared" si="5"/>
        <v>719</v>
      </c>
      <c r="AL18" s="932">
        <f t="shared" si="5"/>
        <v>0</v>
      </c>
      <c r="AM18" s="932">
        <f t="shared" si="5"/>
        <v>0</v>
      </c>
      <c r="AN18" s="932">
        <f t="shared" si="5"/>
        <v>0</v>
      </c>
      <c r="AO18" s="934">
        <f>IF(ISNUMBER(((NºAsuntos!I18/NºAsuntos!G18)*11)/factor_trimestre),((NºAsuntos!I18/NºAsuntos!G18)*11)/factor_trimestre," - ")</f>
        <v>3.6859956236323854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913</v>
      </c>
      <c r="G19" s="820">
        <f t="shared" si="7"/>
        <v>1129</v>
      </c>
      <c r="H19" s="821">
        <f t="shared" si="7"/>
        <v>0</v>
      </c>
      <c r="I19" s="820">
        <f t="shared" si="7"/>
        <v>0</v>
      </c>
      <c r="J19" s="822">
        <f t="shared" si="7"/>
        <v>0</v>
      </c>
      <c r="K19" s="820">
        <f t="shared" si="7"/>
        <v>0</v>
      </c>
      <c r="L19" s="823">
        <f t="shared" si="7"/>
        <v>0</v>
      </c>
      <c r="M19" s="820">
        <f t="shared" si="7"/>
        <v>0</v>
      </c>
      <c r="N19" s="821">
        <f t="shared" si="7"/>
        <v>127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914</v>
      </c>
      <c r="Z19" s="827">
        <f t="shared" si="8"/>
        <v>169</v>
      </c>
      <c r="AA19" s="828">
        <f t="shared" si="8"/>
        <v>1133</v>
      </c>
      <c r="AB19" s="828">
        <f t="shared" si="8"/>
        <v>0</v>
      </c>
      <c r="AC19" s="828">
        <f t="shared" si="8"/>
        <v>0</v>
      </c>
      <c r="AD19" s="829">
        <f t="shared" si="8"/>
        <v>0</v>
      </c>
      <c r="AE19" s="829">
        <f t="shared" si="8"/>
        <v>1509</v>
      </c>
      <c r="AF19" s="830">
        <f t="shared" si="8"/>
        <v>0</v>
      </c>
      <c r="AG19" s="831">
        <f t="shared" si="8"/>
        <v>0</v>
      </c>
      <c r="AH19" s="832">
        <f t="shared" si="8"/>
        <v>0</v>
      </c>
      <c r="AI19" s="830">
        <f t="shared" si="8"/>
        <v>0</v>
      </c>
      <c r="AJ19" s="820">
        <f t="shared" si="8"/>
        <v>181</v>
      </c>
      <c r="AK19" s="820">
        <f t="shared" si="8"/>
        <v>827</v>
      </c>
      <c r="AL19" s="820">
        <f t="shared" si="8"/>
        <v>0</v>
      </c>
      <c r="AM19" s="833">
        <f t="shared" si="8"/>
        <v>0</v>
      </c>
      <c r="AN19" s="823">
        <f>IF(ISNUMBER(Datos!K19/Datos!J19),Datos!K19/Datos!J19," - ")</f>
        <v>0.74770114942528731</v>
      </c>
      <c r="AO19" s="823">
        <f>IF(ISNUMBER(FIND("06",Criterios!A8,1)),(IF(ISNUMBER(((Datos!R19/Datos!Q19)*11)/factor_trimestre),((Datos!R19/Datos!Q19)*11)/factor_trimestre," - ")),(IF(ISNUMBER(((Datos!L19/Datos!K19)*11)/factor_trimestre),((Datos!L19/Datos!K19)*11)/factor_trimestre," - ")))</f>
        <v>7.7571099154496537</v>
      </c>
      <c r="AP19" s="834" t="str">
        <f>IF(ISNUMBER(Datos!CI19/Datos!CJ19),Datos!CI19/Datos!CJ19," - ")</f>
        <v xml:space="preserve"> - </v>
      </c>
      <c r="AQ19" s="834">
        <f>IF(OR(ISNUMBER(FIND("01",Criterios!A8,1)),ISNUMBER(FIND("02",Criterios!A8,1)),ISNUMBER(FIND("03",Criterios!A8,1)),ISNUMBER(FIND("04",Criterios!A8,1))),(J19-Y19+K19)/(F19-K19),(I19-Y19+K19)/(F19-K19))</f>
        <v>-1.0010952902519168</v>
      </c>
      <c r="AR19" s="834">
        <f>IF(ISNUMBER((Datos!P19-Datos!Q19+O19)/(Datos!R19-Datos!P19+Datos!Q19-O19)),(Datos!P19-Datos!Q19+O19)/(Datos!R19-Datos!P19+Datos!Q19-O19)," - ")</f>
        <v>-2.7079303675048357E-2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525.96609523174902</v>
      </c>
      <c r="G21" s="552">
        <f>IF(ISNUMBER(STDEV(G8:G18)),STDEV(G8:G18),"-")</f>
        <v>586.71483703755098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48.992516435335986</v>
      </c>
      <c r="AK21" s="252"/>
      <c r="AL21" s="252">
        <f>IF(ISNUMBER(STDEV(AL8:AL18)),STDEV(AL8:AL18),"-")</f>
        <v>0</v>
      </c>
      <c r="AM21" s="254">
        <f>IF(ISNUMBER(STDEV(AM8:AM18)),STDEV(AM8:AM18),"-")</f>
        <v>0</v>
      </c>
      <c r="AN21" s="539">
        <f>IF(ISNUMBER(STDEV(AN8:AN18)),STDEV(AN8:AN18),"-")</f>
        <v>0</v>
      </c>
      <c r="AO21" s="540">
        <f>IF(ISNUMBER(STDEV(AO8:AO18)),STDEV(AO8:AO18),"-")</f>
        <v>6.4178275125936972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BibfIQ67b7QlGm2BNEZb7fSEzkTOdG1opp9GRTFuT4rQRNcg3Yq0xRzjbBgenCANk1vZp87wXuWZsQKH0rZvSA==" saltValue="K7AaAyjF1v6hzEFTYVHjY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icV+9muFwta3c9fJI1QxZMA4eDJDp8b2zUkL3LEi6xDm8WPmktpim5ZI2lNE6btR1QIYISPwSERupLI3CRZsiQ==" saltValue="IE8JtuZCE8onFHrT7xrp8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U/A7lZltYthgtv1MaHpDfUfVqyTx77njnDJJpvKcWjrAw/RXUUBmfV01WYZsBKjhZzNFkl9XOBypaUl0zU3jg==" saltValue="g6D8lgT1pWwT+Asb1oz7K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MALAGA  Resumenes por Partidos Judiciales  TORROX</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0.25531914893617019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0.18053790157954402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cYI0ysgbPomlU9h5H48igWa+I/mGQ3dTzHJIaqHIJdDJtdG+EZPyALzpqZIH5WiiNGB9cwq7Kkaot47zmZQaWQ==" saltValue="vi57f3j1McI41ggHrEDX8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Y1RxJsxYhcikdO7V8T2FUZXThcGviBlZtExXtUPQ6HGwf6cENUMwKGaVI+l8nGiqExRqHKVBOtHL2Dtaj64Kg==" saltValue="lDtBx4KJmcptTVxKsaKP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MALAGA  Resumenes por Partidos Judiciales  TORROX</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108</v>
      </c>
      <c r="AM12" s="690">
        <f>IF(ISNUMBER(Datos!N12+DatosP!N16),Datos!N12+DatosP!N16," - ")</f>
        <v>108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16.113475177304963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-3.3467202141900937E-2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164</v>
      </c>
      <c r="AE13" s="939">
        <f t="shared" si="1"/>
        <v>0</v>
      </c>
      <c r="AF13" s="939">
        <f t="shared" si="1"/>
        <v>10</v>
      </c>
      <c r="AG13" s="939">
        <f t="shared" si="1"/>
        <v>0</v>
      </c>
      <c r="AH13" s="939">
        <f t="shared" si="1"/>
        <v>1444</v>
      </c>
      <c r="AI13" s="939">
        <f t="shared" si="1"/>
        <v>0</v>
      </c>
      <c r="AJ13" s="939">
        <f t="shared" si="1"/>
        <v>0</v>
      </c>
      <c r="AK13" s="939">
        <f t="shared" si="1"/>
        <v>0</v>
      </c>
      <c r="AL13" s="939">
        <f t="shared" si="1"/>
        <v>108</v>
      </c>
      <c r="AM13" s="939">
        <f t="shared" si="1"/>
        <v>108</v>
      </c>
      <c r="AN13" s="939">
        <f t="shared" si="1"/>
        <v>0</v>
      </c>
      <c r="AO13" s="939">
        <f t="shared" si="1"/>
        <v>0</v>
      </c>
      <c r="AP13" s="944">
        <f>IF(ISNUMBER(((Datos!L13/Datos!K13)*11)/factor_trimestre),((Datos!L13/Datos!K13)*11)/factor_trimestre," - ")</f>
        <v>17.372093023255815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-3.3467202141900937E-2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3.6859956236323854</v>
      </c>
      <c r="AQ18" s="944">
        <f>IF(ISNUMBER(((Datos!M18/Datos!L18)*11)/factor_trimestre),((Datos!M18/Datos!L18)*11)/factor_trimestre," - ")</f>
        <v>0.19501335707925202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0.14035087719298245</v>
      </c>
      <c r="AW18" s="946">
        <f>IF(ISNUMBER((Datos!Q18-Datos!R18)/(Datos!S18-Datos!Q18+Datos!R18)),(Datos!Q18-Datos!R18)/(Datos!S18-Datos!Q18+Datos!R18)," - ")</f>
        <v>-5.3619302949061663E-2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164</v>
      </c>
      <c r="AE19" s="957">
        <f t="shared" si="5"/>
        <v>0</v>
      </c>
      <c r="AF19" s="958">
        <f t="shared" si="5"/>
        <v>10</v>
      </c>
      <c r="AG19" s="958">
        <f t="shared" si="5"/>
        <v>0</v>
      </c>
      <c r="AH19" s="958">
        <f t="shared" si="5"/>
        <v>1444</v>
      </c>
      <c r="AI19" s="958">
        <f t="shared" si="5"/>
        <v>0</v>
      </c>
      <c r="AJ19" s="959">
        <f t="shared" si="5"/>
        <v>0</v>
      </c>
      <c r="AK19" s="959">
        <f t="shared" si="5"/>
        <v>0</v>
      </c>
      <c r="AL19" s="951">
        <f t="shared" si="5"/>
        <v>108</v>
      </c>
      <c r="AM19" s="951">
        <f t="shared" si="5"/>
        <v>108</v>
      </c>
      <c r="AN19" s="951">
        <f t="shared" si="5"/>
        <v>0</v>
      </c>
      <c r="AO19" s="951">
        <f t="shared" si="5"/>
        <v>0</v>
      </c>
      <c r="AP19" s="951">
        <f>IF(ISNUMBER(((Datos!L19/Datos!K19)*11)/factor_trimestre),((Datos!L19/Datos!K19)*11)/factor_trimestre," - ")</f>
        <v>7.7571099154496537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-2.7079303675048357E-2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62.353829072479584</v>
      </c>
      <c r="AM21" s="736"/>
      <c r="AN21" s="736">
        <f>IF(ISNUMBER(STDEV(AN8:AN18)),STDEV(AN8:AN18),"-")</f>
        <v>0</v>
      </c>
      <c r="AO21" s="742">
        <f>IF(ISNUMBER(STDEV(AO8:AO18)),STDEV(AO8:AO18),"-")</f>
        <v>0</v>
      </c>
      <c r="AP21" s="779">
        <f>IF(ISNUMBER(STDEV(AP8:AP18)),STDEV(AP8:AP18),"-")</f>
        <v>7.5645624347025198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e2hkctxyBOwD93Lp5M4MNydDRuCAIWl6wHNGNXA5UNH3ubI56mDLVgy8W+UiK6r/ulzl211M9bsVVLq5u7wGCA==" saltValue="mv6IQdsuqjVmJqL9UmZyu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